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66925"/>
  <mc:AlternateContent xmlns:mc="http://schemas.openxmlformats.org/markup-compatibility/2006">
    <mc:Choice Requires="x15">
      <x15ac:absPath xmlns:x15ac="http://schemas.microsoft.com/office/spreadsheetml/2010/11/ac" url="F:\Google Drive\NIBCLive Content\5) Case Studies\First Round\Coach New York\3) Financial Model\1) DCF &amp; LBO\"/>
    </mc:Choice>
  </mc:AlternateContent>
  <xr:revisionPtr revIDLastSave="0" documentId="8_{8882024A-E7C1-4543-A0AE-CAD6504A14F8}" xr6:coauthVersionLast="45" xr6:coauthVersionMax="45" xr10:uidLastSave="{00000000-0000-0000-0000-000000000000}"/>
  <bookViews>
    <workbookView xWindow="-108" yWindow="-108" windowWidth="30936" windowHeight="12576" firstSheet="4" activeTab="9" xr2:uid="{2E66996F-4871-4DFE-A9CE-150FE7A02EC5}"/>
  </bookViews>
  <sheets>
    <sheet name="DCF - Summary" sheetId="20" r:id="rId1"/>
    <sheet name="DCF - Assumptions" sheetId="3" r:id="rId2"/>
    <sheet name="DCF - Financials" sheetId="2" r:id="rId3"/>
    <sheet name="DCF - Capital Structure" sheetId="4" r:id="rId4"/>
    <sheet name="DCF - Valuation" sheetId="5" r:id="rId5"/>
    <sheet name="DCF - Assumptions Document" sheetId="6" r:id="rId6"/>
    <sheet name="LBO - Summary" sheetId="21" r:id="rId7"/>
    <sheet name="LBO - Assumptions" sheetId="8" r:id="rId8"/>
    <sheet name="LBO - Financials" sheetId="9" r:id="rId9"/>
    <sheet name="LBO - Assumptions Document" sheetId="10"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_FDS_HYPERLINK_TOGGLE_STATE__" hidden="1">"ON"</definedName>
    <definedName name="__FDS_UNIQUE_RANGE_ID_GENERATOR_COUNTER" hidden="1">92</definedName>
    <definedName name="__FDS_USED_FOR_REUSING_RANGE_IDS_RECYCLE" localSheetId="5" hidden="1">{91}</definedName>
    <definedName name="__FDS_USED_FOR_REUSING_RANGE_IDS_RECYCLE" localSheetId="3" hidden="1">{91}</definedName>
    <definedName name="__FDS_USED_FOR_REUSING_RANGE_IDS_RECYCLE" localSheetId="7" hidden="1">{91}</definedName>
    <definedName name="__FDS_USED_FOR_REUSING_RANGE_IDS_RECYCLE" localSheetId="8" hidden="1">{91}</definedName>
    <definedName name="__FDS_USED_FOR_REUSING_RANGE_IDS_RECYCLE" hidden="1">{91}</definedName>
    <definedName name="_12__FDSAUDITLINK__" localSheetId="5">{"fdsup://Directions/FactSet Auditing Viewer?action=AUDIT_VALUE&amp;DB=129&amp;ID1=45920010&amp;VALUEID=03051&amp;SDATE=2006&amp;PERIODTYPE=ANN_STD&amp;window=popup_no_bar&amp;width=385&amp;height=120&amp;START_MAXIMIZED=FALSE&amp;creator=factset&amp;display_string=Audit"}</definedName>
    <definedName name="_12__FDSAUDITLINK__" localSheetId="3">{"fdsup://Directions/FactSet Auditing Viewer?action=AUDIT_VALUE&amp;DB=129&amp;ID1=45920010&amp;VALUEID=03051&amp;SDATE=2006&amp;PERIODTYPE=ANN_STD&amp;window=popup_no_bar&amp;width=385&amp;height=120&amp;START_MAXIMIZED=FALSE&amp;creator=factset&amp;display_string=Audit"}</definedName>
    <definedName name="_12__FDSAUDITLINK__" localSheetId="7">{"fdsup://Directions/FactSet Auditing Viewer?action=AUDIT_VALUE&amp;DB=129&amp;ID1=45920010&amp;VALUEID=03051&amp;SDATE=2006&amp;PERIODTYPE=ANN_STD&amp;window=popup_no_bar&amp;width=385&amp;height=120&amp;START_MAXIMIZED=FALSE&amp;creator=factset&amp;display_string=Audit"}</definedName>
    <definedName name="_12__FDSAUDITLINK__" localSheetId="8">{"fdsup://Directions/FactSet Auditing Viewer?action=AUDIT_VALUE&amp;DB=129&amp;ID1=45920010&amp;VALUEID=03051&amp;SDATE=2006&amp;PERIODTYPE=ANN_STD&amp;window=popup_no_bar&amp;width=385&amp;height=120&amp;START_MAXIMIZED=FALSE&amp;creator=factset&amp;display_string=Audit"}</definedName>
    <definedName name="_12__FDSAUDITLINK__">{"fdsup://Directions/FactSet Auditing Viewer?action=AUDIT_VALUE&amp;DB=129&amp;ID1=45920010&amp;VALUEID=03051&amp;SDATE=2006&amp;PERIODTYPE=ANN_STD&amp;window=popup_no_bar&amp;width=385&amp;height=120&amp;START_MAXIMIZED=FALSE&amp;creator=factset&amp;display_string=Audit"}</definedName>
    <definedName name="_13__FDSAUDITLINK__" localSheetId="5">{"fdsup://Directions/FactSet Auditing Viewer?action=AUDIT_VALUE&amp;DB=129&amp;ID1=45920010&amp;VALUEID=03101&amp;SDATE=2009&amp;PERIODTYPE=ANN_STD&amp;window=popup_no_bar&amp;width=385&amp;height=120&amp;START_MAXIMIZED=FALSE&amp;creator=factset&amp;display_string=Audit"}</definedName>
    <definedName name="_13__FDSAUDITLINK__" localSheetId="3">{"fdsup://Directions/FactSet Auditing Viewer?action=AUDIT_VALUE&amp;DB=129&amp;ID1=45920010&amp;VALUEID=03101&amp;SDATE=2009&amp;PERIODTYPE=ANN_STD&amp;window=popup_no_bar&amp;width=385&amp;height=120&amp;START_MAXIMIZED=FALSE&amp;creator=factset&amp;display_string=Audit"}</definedName>
    <definedName name="_13__FDSAUDITLINK__" localSheetId="7">{"fdsup://Directions/FactSet Auditing Viewer?action=AUDIT_VALUE&amp;DB=129&amp;ID1=45920010&amp;VALUEID=03101&amp;SDATE=2009&amp;PERIODTYPE=ANN_STD&amp;window=popup_no_bar&amp;width=385&amp;height=120&amp;START_MAXIMIZED=FALSE&amp;creator=factset&amp;display_string=Audit"}</definedName>
    <definedName name="_13__FDSAUDITLINK__" localSheetId="8">{"fdsup://Directions/FactSet Auditing Viewer?action=AUDIT_VALUE&amp;DB=129&amp;ID1=45920010&amp;VALUEID=03101&amp;SDATE=2009&amp;PERIODTYPE=ANN_STD&amp;window=popup_no_bar&amp;width=385&amp;height=120&amp;START_MAXIMIZED=FALSE&amp;creator=factset&amp;display_string=Audit"}</definedName>
    <definedName name="_13__FDSAUDITLINK__">{"fdsup://Directions/FactSet Auditing Viewer?action=AUDIT_VALUE&amp;DB=129&amp;ID1=45920010&amp;VALUEID=03101&amp;SDATE=2009&amp;PERIODTYPE=ANN_STD&amp;window=popup_no_bar&amp;width=385&amp;height=120&amp;START_MAXIMIZED=FALSE&amp;creator=factset&amp;display_string=Audit"}</definedName>
    <definedName name="_14__FDSAUDITLINK__" localSheetId="5">{"fdsup://Directions/FactSet Auditing Viewer?action=AUDIT_VALUE&amp;DB=129&amp;ID1=45920010&amp;VALUEID=03051&amp;SDATE=201004&amp;PERIODTYPE=QTR_STD&amp;window=popup_no_bar&amp;width=385&amp;height=120&amp;START_MAXIMIZED=FALSE&amp;creator=factset&amp;display_string=Audit"}</definedName>
    <definedName name="_14__FDSAUDITLINK__" localSheetId="3">{"fdsup://Directions/FactSet Auditing Viewer?action=AUDIT_VALUE&amp;DB=129&amp;ID1=45920010&amp;VALUEID=03051&amp;SDATE=201004&amp;PERIODTYPE=QTR_STD&amp;window=popup_no_bar&amp;width=385&amp;height=120&amp;START_MAXIMIZED=FALSE&amp;creator=factset&amp;display_string=Audit"}</definedName>
    <definedName name="_14__FDSAUDITLINK__" localSheetId="7">{"fdsup://Directions/FactSet Auditing Viewer?action=AUDIT_VALUE&amp;DB=129&amp;ID1=45920010&amp;VALUEID=03051&amp;SDATE=201004&amp;PERIODTYPE=QTR_STD&amp;window=popup_no_bar&amp;width=385&amp;height=120&amp;START_MAXIMIZED=FALSE&amp;creator=factset&amp;display_string=Audit"}</definedName>
    <definedName name="_14__FDSAUDITLINK__" localSheetId="8">{"fdsup://Directions/FactSet Auditing Viewer?action=AUDIT_VALUE&amp;DB=129&amp;ID1=45920010&amp;VALUEID=03051&amp;SDATE=201004&amp;PERIODTYPE=QTR_STD&amp;window=popup_no_bar&amp;width=385&amp;height=120&amp;START_MAXIMIZED=FALSE&amp;creator=factset&amp;display_string=Audit"}</definedName>
    <definedName name="_14__FDSAUDITLINK__">{"fdsup://Directions/FactSet Auditing Viewer?action=AUDIT_VALUE&amp;DB=129&amp;ID1=45920010&amp;VALUEID=03051&amp;SDATE=201004&amp;PERIODTYPE=QTR_STD&amp;window=popup_no_bar&amp;width=385&amp;height=120&amp;START_MAXIMIZED=FALSE&amp;creator=factset&amp;display_string=Audit"}</definedName>
    <definedName name="_15__FDSAUDITLINK__" localSheetId="5">{"fdsup://Directions/FactSet Auditing Viewer?action=AUDIT_VALUE&amp;DB=129&amp;ID1=45920010&amp;VALUEID=03051&amp;SDATE=2007&amp;PERIODTYPE=ANN_STD&amp;window=popup_no_bar&amp;width=385&amp;height=120&amp;START_MAXIMIZED=FALSE&amp;creator=factset&amp;display_string=Audit"}</definedName>
    <definedName name="_15__FDSAUDITLINK__" localSheetId="3">{"fdsup://Directions/FactSet Auditing Viewer?action=AUDIT_VALUE&amp;DB=129&amp;ID1=45920010&amp;VALUEID=03051&amp;SDATE=2007&amp;PERIODTYPE=ANN_STD&amp;window=popup_no_bar&amp;width=385&amp;height=120&amp;START_MAXIMIZED=FALSE&amp;creator=factset&amp;display_string=Audit"}</definedName>
    <definedName name="_15__FDSAUDITLINK__" localSheetId="7">{"fdsup://Directions/FactSet Auditing Viewer?action=AUDIT_VALUE&amp;DB=129&amp;ID1=45920010&amp;VALUEID=03051&amp;SDATE=2007&amp;PERIODTYPE=ANN_STD&amp;window=popup_no_bar&amp;width=385&amp;height=120&amp;START_MAXIMIZED=FALSE&amp;creator=factset&amp;display_string=Audit"}</definedName>
    <definedName name="_15__FDSAUDITLINK__" localSheetId="8">{"fdsup://Directions/FactSet Auditing Viewer?action=AUDIT_VALUE&amp;DB=129&amp;ID1=45920010&amp;VALUEID=03051&amp;SDATE=2007&amp;PERIODTYPE=ANN_STD&amp;window=popup_no_bar&amp;width=385&amp;height=120&amp;START_MAXIMIZED=FALSE&amp;creator=factset&amp;display_string=Audit"}</definedName>
    <definedName name="_15__FDSAUDITLINK__">{"fdsup://Directions/FactSet Auditing Viewer?action=AUDIT_VALUE&amp;DB=129&amp;ID1=45920010&amp;VALUEID=03051&amp;SDATE=2007&amp;PERIODTYPE=ANN_STD&amp;window=popup_no_bar&amp;width=385&amp;height=120&amp;START_MAXIMIZED=FALSE&amp;creator=factset&amp;display_string=Audit"}</definedName>
    <definedName name="_16__FDSAUDITLINK__" localSheetId="5">{"fdsup://Directions/FactSet Auditing Viewer?action=AUDIT_VALUE&amp;DB=129&amp;ID1=45920010&amp;VALUEID=01251&amp;SDATE=2010&amp;PERIODTYPE=ANN_STD&amp;window=popup_no_bar&amp;width=385&amp;height=120&amp;START_MAXIMIZED=FALSE&amp;creator=factset&amp;display_string=Audit"}</definedName>
    <definedName name="_16__FDSAUDITLINK__" localSheetId="3">{"fdsup://Directions/FactSet Auditing Viewer?action=AUDIT_VALUE&amp;DB=129&amp;ID1=45920010&amp;VALUEID=01251&amp;SDATE=2010&amp;PERIODTYPE=ANN_STD&amp;window=popup_no_bar&amp;width=385&amp;height=120&amp;START_MAXIMIZED=FALSE&amp;creator=factset&amp;display_string=Audit"}</definedName>
    <definedName name="_16__FDSAUDITLINK__" localSheetId="7">{"fdsup://Directions/FactSet Auditing Viewer?action=AUDIT_VALUE&amp;DB=129&amp;ID1=45920010&amp;VALUEID=01251&amp;SDATE=2010&amp;PERIODTYPE=ANN_STD&amp;window=popup_no_bar&amp;width=385&amp;height=120&amp;START_MAXIMIZED=FALSE&amp;creator=factset&amp;display_string=Audit"}</definedName>
    <definedName name="_16__FDSAUDITLINK__" localSheetId="8">{"fdsup://Directions/FactSet Auditing Viewer?action=AUDIT_VALUE&amp;DB=129&amp;ID1=45920010&amp;VALUEID=01251&amp;SDATE=2010&amp;PERIODTYPE=ANN_STD&amp;window=popup_no_bar&amp;width=385&amp;height=120&amp;START_MAXIMIZED=FALSE&amp;creator=factset&amp;display_string=Audit"}</definedName>
    <definedName name="_16__FDSAUDITLINK__">{"fdsup://Directions/FactSet Auditing Viewer?action=AUDIT_VALUE&amp;DB=129&amp;ID1=45920010&amp;VALUEID=01251&amp;SDATE=2010&amp;PERIODTYPE=ANN_STD&amp;window=popup_no_bar&amp;width=385&amp;height=120&amp;START_MAXIMIZED=FALSE&amp;creator=factset&amp;display_string=Audit"}</definedName>
    <definedName name="_17__FDSAUDITLINK__" localSheetId="5">{"fdsup://Directions/FactSet Auditing Viewer?action=AUDIT_VALUE&amp;DB=129&amp;ID1=45920010&amp;VALUEID=03051&amp;SDATE=2009&amp;PERIODTYPE=ANN_STD&amp;window=popup_no_bar&amp;width=385&amp;height=120&amp;START_MAXIMIZED=FALSE&amp;creator=factset&amp;display_string=Audit"}</definedName>
    <definedName name="_17__FDSAUDITLINK__" localSheetId="3">{"fdsup://Directions/FactSet Auditing Viewer?action=AUDIT_VALUE&amp;DB=129&amp;ID1=45920010&amp;VALUEID=03051&amp;SDATE=2009&amp;PERIODTYPE=ANN_STD&amp;window=popup_no_bar&amp;width=385&amp;height=120&amp;START_MAXIMIZED=FALSE&amp;creator=factset&amp;display_string=Audit"}</definedName>
    <definedName name="_17__FDSAUDITLINK__" localSheetId="7">{"fdsup://Directions/FactSet Auditing Viewer?action=AUDIT_VALUE&amp;DB=129&amp;ID1=45920010&amp;VALUEID=03051&amp;SDATE=2009&amp;PERIODTYPE=ANN_STD&amp;window=popup_no_bar&amp;width=385&amp;height=120&amp;START_MAXIMIZED=FALSE&amp;creator=factset&amp;display_string=Audit"}</definedName>
    <definedName name="_17__FDSAUDITLINK__" localSheetId="8">{"fdsup://Directions/FactSet Auditing Viewer?action=AUDIT_VALUE&amp;DB=129&amp;ID1=45920010&amp;VALUEID=03051&amp;SDATE=2009&amp;PERIODTYPE=ANN_STD&amp;window=popup_no_bar&amp;width=385&amp;height=120&amp;START_MAXIMIZED=FALSE&amp;creator=factset&amp;display_string=Audit"}</definedName>
    <definedName name="_17__FDSAUDITLINK__">{"fdsup://Directions/FactSet Auditing Viewer?action=AUDIT_VALUE&amp;DB=129&amp;ID1=45920010&amp;VALUEID=03051&amp;SDATE=2009&amp;PERIODTYPE=ANN_STD&amp;window=popup_no_bar&amp;width=385&amp;height=120&amp;START_MAXIMIZED=FALSE&amp;creator=factset&amp;display_string=Audit"}</definedName>
    <definedName name="_18__FDSAUDITLINK__" localSheetId="5">{"fdsup://Directions/FactSet Auditing Viewer?action=AUDIT_VALUE&amp;DB=129&amp;ID1=45920010&amp;VALUEID=01001&amp;SDATE=2005&amp;PERIODTYPE=ANN_STD&amp;window=popup_no_bar&amp;width=385&amp;height=120&amp;START_MAXIMIZED=FALSE&amp;creator=factset&amp;display_string=Audit"}</definedName>
    <definedName name="_18__FDSAUDITLINK__" localSheetId="3">{"fdsup://Directions/FactSet Auditing Viewer?action=AUDIT_VALUE&amp;DB=129&amp;ID1=45920010&amp;VALUEID=01001&amp;SDATE=2005&amp;PERIODTYPE=ANN_STD&amp;window=popup_no_bar&amp;width=385&amp;height=120&amp;START_MAXIMIZED=FALSE&amp;creator=factset&amp;display_string=Audit"}</definedName>
    <definedName name="_18__FDSAUDITLINK__" localSheetId="7">{"fdsup://Directions/FactSet Auditing Viewer?action=AUDIT_VALUE&amp;DB=129&amp;ID1=45920010&amp;VALUEID=01001&amp;SDATE=2005&amp;PERIODTYPE=ANN_STD&amp;window=popup_no_bar&amp;width=385&amp;height=120&amp;START_MAXIMIZED=FALSE&amp;creator=factset&amp;display_string=Audit"}</definedName>
    <definedName name="_18__FDSAUDITLINK__" localSheetId="8">{"fdsup://Directions/FactSet Auditing Viewer?action=AUDIT_VALUE&amp;DB=129&amp;ID1=45920010&amp;VALUEID=01001&amp;SDATE=2005&amp;PERIODTYPE=ANN_STD&amp;window=popup_no_bar&amp;width=385&amp;height=120&amp;START_MAXIMIZED=FALSE&amp;creator=factset&amp;display_string=Audit"}</definedName>
    <definedName name="_18__FDSAUDITLINK__">{"fdsup://Directions/FactSet Auditing Viewer?action=AUDIT_VALUE&amp;DB=129&amp;ID1=45920010&amp;VALUEID=01001&amp;SDATE=2005&amp;PERIODTYPE=ANN_STD&amp;window=popup_no_bar&amp;width=385&amp;height=120&amp;START_MAXIMIZED=FALSE&amp;creator=factset&amp;display_string=Audit"}</definedName>
    <definedName name="_19__FDSAUDITLINK__" localSheetId="5">{"fdsup://Directions/FactSet Auditing Viewer?action=AUDIT_VALUE&amp;DB=129&amp;ID1=45920010&amp;VALUEID=02201&amp;SDATE=2007&amp;PERIODTYPE=ANN_STD&amp;window=popup_no_bar&amp;width=385&amp;height=120&amp;START_MAXIMIZED=FALSE&amp;creator=factset&amp;display_string=Audit"}</definedName>
    <definedName name="_19__FDSAUDITLINK__" localSheetId="3">{"fdsup://Directions/FactSet Auditing Viewer?action=AUDIT_VALUE&amp;DB=129&amp;ID1=45920010&amp;VALUEID=02201&amp;SDATE=2007&amp;PERIODTYPE=ANN_STD&amp;window=popup_no_bar&amp;width=385&amp;height=120&amp;START_MAXIMIZED=FALSE&amp;creator=factset&amp;display_string=Audit"}</definedName>
    <definedName name="_19__FDSAUDITLINK__" localSheetId="7">{"fdsup://Directions/FactSet Auditing Viewer?action=AUDIT_VALUE&amp;DB=129&amp;ID1=45920010&amp;VALUEID=02201&amp;SDATE=2007&amp;PERIODTYPE=ANN_STD&amp;window=popup_no_bar&amp;width=385&amp;height=120&amp;START_MAXIMIZED=FALSE&amp;creator=factset&amp;display_string=Audit"}</definedName>
    <definedName name="_19__FDSAUDITLINK__" localSheetId="8">{"fdsup://Directions/FactSet Auditing Viewer?action=AUDIT_VALUE&amp;DB=129&amp;ID1=45920010&amp;VALUEID=02201&amp;SDATE=2007&amp;PERIODTYPE=ANN_STD&amp;window=popup_no_bar&amp;width=385&amp;height=120&amp;START_MAXIMIZED=FALSE&amp;creator=factset&amp;display_string=Audit"}</definedName>
    <definedName name="_19__FDSAUDITLINK__">{"fdsup://Directions/FactSet Auditing Viewer?action=AUDIT_VALUE&amp;DB=129&amp;ID1=45920010&amp;VALUEID=02201&amp;SDATE=2007&amp;PERIODTYPE=ANN_STD&amp;window=popup_no_bar&amp;width=385&amp;height=120&amp;START_MAXIMIZED=FALSE&amp;creator=factset&amp;display_string=Audit"}</definedName>
    <definedName name="_20__FDSAUDITLINK__" localSheetId="5" hidden="1">{"fdsup://Directions/FactSet Auditing Viewer?action=AUDIT_VALUE&amp;DB=129&amp;ID1=20536310&amp;VALUEID=07011&amp;SDATE=2008&amp;PERIODTYPE=ANN_STD&amp;window=popup_no_bar&amp;width=385&amp;height=120&amp;START_MAXIMIZED=FALSE&amp;creator=factset&amp;display_string=Audit"}</definedName>
    <definedName name="_20__FDSAUDITLINK__" localSheetId="3" hidden="1">{"fdsup://Directions/FactSet Auditing Viewer?action=AUDIT_VALUE&amp;DB=129&amp;ID1=20536310&amp;VALUEID=07011&amp;SDATE=2008&amp;PERIODTYPE=ANN_STD&amp;window=popup_no_bar&amp;width=385&amp;height=120&amp;START_MAXIMIZED=FALSE&amp;creator=factset&amp;display_string=Audit"}</definedName>
    <definedName name="_20__FDSAUDITLINK__" localSheetId="7" hidden="1">{"fdsup://Directions/FactSet Auditing Viewer?action=AUDIT_VALUE&amp;DB=129&amp;ID1=20536310&amp;VALUEID=07011&amp;SDATE=2008&amp;PERIODTYPE=ANN_STD&amp;window=popup_no_bar&amp;width=385&amp;height=120&amp;START_MAXIMIZED=FALSE&amp;creator=factset&amp;display_string=Audit"}</definedName>
    <definedName name="_20__FDSAUDITLINK__" localSheetId="8" hidden="1">{"fdsup://Directions/FactSet Auditing Viewer?action=AUDIT_VALUE&amp;DB=129&amp;ID1=20536310&amp;VALUEID=07011&amp;SDATE=2008&amp;PERIODTYPE=ANN_STD&amp;window=popup_no_bar&amp;width=385&amp;height=120&amp;START_MAXIMIZED=FALSE&amp;creator=factset&amp;display_string=Audit"}</definedName>
    <definedName name="_20__FDSAUDITLINK__" hidden="1">{"fdsup://Directions/FactSet Auditing Viewer?action=AUDIT_VALUE&amp;DB=129&amp;ID1=20536310&amp;VALUEID=07011&amp;SDATE=2008&amp;PERIODTYPE=ANN_STD&amp;window=popup_no_bar&amp;width=385&amp;height=120&amp;START_MAXIMIZED=FALSE&amp;creator=factset&amp;display_string=Audit"}</definedName>
    <definedName name="_45__FDSAUDITLINK__" localSheetId="5" hidden="1">{"fdsup://directions/FAT Viewer?action=UPDATE&amp;creator=factset&amp;DYN_ARGS=TRUE&amp;DOC_NAME=FAT:FQL_AUDITING_CLIENT_TEMPLATE.FAT&amp;display_string=Audit&amp;VAR:KEY=GLKJCXKPER&amp;VAR:QUERY=RkZfTElBQlMoQU5OLDBZKQ==&amp;WINDOW=FIRST_POPUP&amp;HEIGHT=450&amp;WIDTH=450&amp;START_MAXIMIZED=FALS","E&amp;VAR:CALENDAR=US&amp;VAR:SYMBOL=622657&amp;VAR:INDEX=0"}</definedName>
    <definedName name="_45__FDSAUDITLINK__" localSheetId="3" hidden="1">{"fdsup://directions/FAT Viewer?action=UPDATE&amp;creator=factset&amp;DYN_ARGS=TRUE&amp;DOC_NAME=FAT:FQL_AUDITING_CLIENT_TEMPLATE.FAT&amp;display_string=Audit&amp;VAR:KEY=GLKJCXKPER&amp;VAR:QUERY=RkZfTElBQlMoQU5OLDBZKQ==&amp;WINDOW=FIRST_POPUP&amp;HEIGHT=450&amp;WIDTH=450&amp;START_MAXIMIZED=FALS","E&amp;VAR:CALENDAR=US&amp;VAR:SYMBOL=622657&amp;VAR:INDEX=0"}</definedName>
    <definedName name="_45__FDSAUDITLINK__" localSheetId="7" hidden="1">{"fdsup://directions/FAT Viewer?action=UPDATE&amp;creator=factset&amp;DYN_ARGS=TRUE&amp;DOC_NAME=FAT:FQL_AUDITING_CLIENT_TEMPLATE.FAT&amp;display_string=Audit&amp;VAR:KEY=GLKJCXKPER&amp;VAR:QUERY=RkZfTElBQlMoQU5OLDBZKQ==&amp;WINDOW=FIRST_POPUP&amp;HEIGHT=450&amp;WIDTH=450&amp;START_MAXIMIZED=FALS","E&amp;VAR:CALENDAR=US&amp;VAR:SYMBOL=622657&amp;VAR:INDEX=0"}</definedName>
    <definedName name="_45__FDSAUDITLINK__" localSheetId="8" hidden="1">{"fdsup://directions/FAT Viewer?action=UPDATE&amp;creator=factset&amp;DYN_ARGS=TRUE&amp;DOC_NAME=FAT:FQL_AUDITING_CLIENT_TEMPLATE.FAT&amp;display_string=Audit&amp;VAR:KEY=GLKJCXKPER&amp;VAR:QUERY=RkZfTElBQlMoQU5OLDBZKQ==&amp;WINDOW=FIRST_POPUP&amp;HEIGHT=450&amp;WIDTH=450&amp;START_MAXIMIZED=FALS","E&amp;VAR:CALENDAR=US&amp;VAR:SYMBOL=622657&amp;VAR:INDEX=0"}</definedName>
    <definedName name="_45__FDSAUDITLINK__" hidden="1">{"fdsup://directions/FAT Viewer?action=UPDATE&amp;creator=factset&amp;DYN_ARGS=TRUE&amp;DOC_NAME=FAT:FQL_AUDITING_CLIENT_TEMPLATE.FAT&amp;display_string=Audit&amp;VAR:KEY=GLKJCXKPER&amp;VAR:QUERY=RkZfTElBQlMoQU5OLDBZKQ==&amp;WINDOW=FIRST_POPUP&amp;HEIGHT=450&amp;WIDTH=450&amp;START_MAXIMIZED=FALS","E&amp;VAR:CALENDAR=US&amp;VAR:SYMBOL=622657&amp;VAR:INDEX=0"}</definedName>
    <definedName name="_bdm.1C58560F61E34D9288A0BD5C54EA9E89.edm" localSheetId="2" hidden="1">'DCF - Financials'!$B$29:$I$39</definedName>
    <definedName name="_bdm.3C0A5DFB33C143A7B0202F03660F87C5.edm" localSheetId="5" hidden="1">#REF!</definedName>
    <definedName name="_bdm.3C0A5DFB33C143A7B0202F03660F87C5.edm" localSheetId="3" hidden="1">#REF!</definedName>
    <definedName name="_bdm.3C0A5DFB33C143A7B0202F03660F87C5.edm" localSheetId="7" hidden="1">#REF!</definedName>
    <definedName name="_bdm.3C0A5DFB33C143A7B0202F03660F87C5.edm" localSheetId="8" hidden="1">#REF!</definedName>
    <definedName name="_bdm.3C0A5DFB33C143A7B0202F03660F87C5.edm" hidden="1">#REF!</definedName>
    <definedName name="_bdm.41B7446C4C634C0CB571A940C585DD1B.edm" localSheetId="3" hidden="1">#REF!</definedName>
    <definedName name="_bdm.41B7446C4C634C0CB571A940C585DD1B.edm" localSheetId="7" hidden="1">#REF!</definedName>
    <definedName name="_bdm.41B7446C4C634C0CB571A940C585DD1B.edm" localSheetId="9" hidden="1">#REF!</definedName>
    <definedName name="_bdm.41B7446C4C634C0CB571A940C585DD1B.edm" localSheetId="8" hidden="1">#REF!</definedName>
    <definedName name="_bdm.41B7446C4C634C0CB571A940C585DD1B.edm" hidden="1">#REF!</definedName>
    <definedName name="_bdm.FE6090C7BB534607AA65AE506BE77591.edm" localSheetId="2" hidden="1">'DCF - Financials'!$1:$1048576</definedName>
    <definedName name="AccPayablePercentofCOGS" localSheetId="3">'[1]LGF Assumptions'!$B$81:$O$81</definedName>
    <definedName name="AccPayablePercentofCOGS" localSheetId="7">'[2]Wynn Assumptions'!$B$77:$S$77</definedName>
    <definedName name="AccPayablePercentofCOGS">'[3]LGF Assumptions'!$B$81:$O$81</definedName>
    <definedName name="ARPercentofSales" localSheetId="3">'[1]LGF Assumptions'!$B$80:$O$80</definedName>
    <definedName name="ARPercentofSales" localSheetId="7">'[2]Wynn Assumptions'!$B$74:$S$74</definedName>
    <definedName name="ARPercentofSales">'[3]LGF Assumptions'!$B$80:$O$80</definedName>
    <definedName name="CAGR_Copy" localSheetId="3">'[4]CAGRs - Data Pull (BB)'!$D$4:$N$27,'[4]CAGRs - Data Pull (BB)'!$Q$4:$AA$27,'[4]CAGRs - Data Pull (BB)'!$AE$4:$AG$27</definedName>
    <definedName name="CAGR_Copy">'[5]CAGRs - Data Pull (BB)'!$D$4:$N$27,'[5]CAGRs - Data Pull (BB)'!$Q$4:$AA$27,'[5]CAGRs - Data Pull (BB)'!$AE$4:$AG$27</definedName>
    <definedName name="CAGR_Paste" localSheetId="3">'[4]CAGRs - Pasted (BB)'!$D$4:$N$30,'[4]CAGRs - Pasted (BB)'!$R$4:$AB$30,'[4]CAGRs - Pasted (BB)'!$AF$4:$AH$30</definedName>
    <definedName name="CAGR_Paste">'[5]CAGRs - Pasted (BB)'!$D$4:$N$30,'[5]CAGRs - Pasted (BB)'!$R$4:$AB$30,'[5]CAGRs - Pasted (BB)'!$AF$4:$AH$30</definedName>
    <definedName name="CAPEX" localSheetId="3">'[1]LGF Financials'!$B$76:$O$76</definedName>
    <definedName name="CAPEX" localSheetId="7">'[2]Wynn Financials'!$B$75:$Q$75</definedName>
    <definedName name="CAPEX">'[3]LGF Financials'!$B$76:$O$76</definedName>
    <definedName name="CashInterestRate" localSheetId="3">'[1]LGF Assumptions'!$B$111:$O$111</definedName>
    <definedName name="CashInterestRate" localSheetId="7">'[2]Wynn Assumptions'!$B$97:$S$97</definedName>
    <definedName name="CashInterestRate">'[3]LGF Assumptions'!$B$111:$O$111</definedName>
    <definedName name="Ccy">"USD"</definedName>
    <definedName name="CIQWBGuid" hidden="1">"dc0d3d09-be8e-4cfa-aa6e-b324651c3be9"</definedName>
    <definedName name="COGS" localSheetId="3">'[1]LGF Assumptions'!$B$45:$O$45</definedName>
    <definedName name="COGS" localSheetId="7">'[2]Wynn Financials'!$B$12:$S$12</definedName>
    <definedName name="COGS">'[3]LGF Assumptions'!$B$45:$O$45</definedName>
    <definedName name="COMPARANA_RWIdentifier" localSheetId="5">#REF!</definedName>
    <definedName name="COMPARANA_RWIdentifier" localSheetId="3">#REF!</definedName>
    <definedName name="COMPARANA_RWIdentifier" localSheetId="7">#REF!</definedName>
    <definedName name="COMPARANA_RWIdentifier" localSheetId="8">#REF!</definedName>
    <definedName name="COMPARANA_RWIdentifier">#REF!</definedName>
    <definedName name="COMPS_Copy" localSheetId="3">'[4]Comps - Data Pull (BB)'!$AF$6:$AG$29,'[4]Comps - Data Pull (BB)'!$AI$6:$AI$29,'[4]Comps - Data Pull (BB)'!$AL$6:$AU$29,'[4]Comps - Data Pull (BB)'!$BE$6:$BE$29,'[4]Comps - Data Pull (BB)'!$BH$6:$BW$29</definedName>
    <definedName name="COMPS_Copy">'[5]Comps - Data Pull (BB)'!$AF$6:$AG$29,'[5]Comps - Data Pull (BB)'!$AI$6:$AI$29,'[5]Comps - Data Pull (BB)'!$AL$6:$AU$29,'[5]Comps - Data Pull (BB)'!$BE$6:$BE$29,'[5]Comps - Data Pull (BB)'!$BH$6:$BW$29</definedName>
    <definedName name="COMPS_Paste" localSheetId="5">#REF!,#REF!,#REF!,#REF!,#REF!</definedName>
    <definedName name="COMPS_Paste" localSheetId="3">#REF!,#REF!,#REF!,#REF!,#REF!</definedName>
    <definedName name="COMPS_Paste" localSheetId="7">#REF!,#REF!,#REF!,#REF!,#REF!</definedName>
    <definedName name="COMPS_Paste" localSheetId="8">#REF!,#REF!,#REF!,#REF!,#REF!</definedName>
    <definedName name="COMPS_Paste">#REF!,#REF!,#REF!,#REF!,#REF!</definedName>
    <definedName name="Conv">"h"</definedName>
    <definedName name="DeltaWorkingCapital" localSheetId="3">'[1]LGF Financials'!$B$66:$O$66</definedName>
    <definedName name="DeltaWorkingCapital" localSheetId="7">'[2]Wynn Financials'!$B$63:$Q$63</definedName>
    <definedName name="DeltaWorkingCapital">'[3]LGF Financials'!$B$66:$O$66</definedName>
    <definedName name="Depreciation" localSheetId="3">'[1]LGF Financials'!$B$47:$O$47</definedName>
    <definedName name="Depreciation" localSheetId="7">'[2]Wynn Financials'!$B$50:$Q$50</definedName>
    <definedName name="Depreciation">'[3]LGF Financials'!$B$47:$O$47</definedName>
    <definedName name="DistMarketingAsPerSales" localSheetId="3">'DCF - Capital Structure'!#REF!</definedName>
    <definedName name="DistMarketingAsPerSales">'[3]LGF Assumptions'!$B$47:$O$47</definedName>
    <definedName name="EBIT" localSheetId="3">'[1]LGF Financials'!$B$21:$O$21</definedName>
    <definedName name="EBIT" localSheetId="7">'[2]Wynn Financials'!$B$19:$Q$19</definedName>
    <definedName name="EBIT">'[3]LGF Financials'!$B$21:$O$21</definedName>
    <definedName name="Exit_Multiple" localSheetId="5">#REF!</definedName>
    <definedName name="Exit_Multiple" localSheetId="3">#REF!</definedName>
    <definedName name="Exit_Multiple">#REF!</definedName>
    <definedName name="fact0" localSheetId="3">[6]Sheet1!$O$19:$P$34,[6]Sheet1!$O$9:'[6]Sheet1'!$O$9:$P$10,[6]Sheet1!$O$19:$P$34:'[6]Sheet1'!$P$35</definedName>
    <definedName name="fact0">[7]Sheet1!$O$19:$P$34,[7]Sheet1!$O$9:'[7]Sheet1'!$O$9:$P$10,[7]Sheet1!$O$19:$P$34:'[7]Sheet1'!$P$35</definedName>
    <definedName name="GRAPHNAME" localSheetId="5">OFFSET('[7]FI Company Debt with Ownership'!#REF!,0,0,COUNTA('[7]FI Company Debt with Ownership'!#REF!)-0)</definedName>
    <definedName name="GRAPHNAME" localSheetId="3">OFFSET('[6]FI Company Debt with Ownership'!#REF!,0,0,COUNTA('[6]FI Company Debt with Ownership'!#REF!)-0)</definedName>
    <definedName name="GRAPHNAME">OFFSET('[7]FI Company Debt with Ownership'!#REF!,0,0,COUNTA('[7]FI Company Debt with Ownership'!#REF!)-0)</definedName>
    <definedName name="GRAPHNAME2" localSheetId="5">OFFSET('[7]FI Company Debt with Ownership'!#REF!,0,0,COUNTA('[7]FI Company Debt with Ownership'!#REF!)-0)</definedName>
    <definedName name="GRAPHNAME2" localSheetId="3">OFFSET('[6]FI Company Debt with Ownership'!#REF!,0,0,COUNTA('[6]FI Company Debt with Ownership'!#REF!)-0)</definedName>
    <definedName name="GRAPHNAME2">OFFSET('[7]FI Company Debt with Ownership'!#REF!,0,0,COUNTA('[7]FI Company Debt with Ownership'!#REF!)-0)</definedName>
    <definedName name="GRAPHVALUE" localSheetId="5">OFFSET('[7]FI Company Debt with Ownership'!#REF!,0,0,COUNTA('[7]FI Company Debt with Ownership'!#REF!)-0)</definedName>
    <definedName name="GRAPHVALUE" localSheetId="3">OFFSET('[6]FI Company Debt with Ownership'!#REF!,0,0,COUNTA('[6]FI Company Debt with Ownership'!#REF!)-0)</definedName>
    <definedName name="GRAPHVALUE">OFFSET('[7]FI Company Debt with Ownership'!#REF!,0,0,COUNTA('[7]FI Company Debt with Ownership'!#REF!)-0)</definedName>
    <definedName name="GRAPHVOTES" localSheetId="5">OFFSET('[7]FI Company Debt with Ownership'!#REF!,0,0,COUNTA('[7]FI Company Debt with Ownership'!#REF!)-0)</definedName>
    <definedName name="GRAPHVOTES" localSheetId="3">OFFSET('[6]FI Company Debt with Ownership'!#REF!,0,0,COUNTA('[6]FI Company Debt with Ownership'!#REF!)-0)</definedName>
    <definedName name="GRAPHVOTES">OFFSET('[7]FI Company Debt with Ownership'!#REF!,0,0,COUNTA('[7]FI Company Debt with Ownership'!#REF!)-0)</definedName>
    <definedName name="GrossMargin" localSheetId="3">'DCF - Capital Structure'!#REF!</definedName>
    <definedName name="GrossMargin" localSheetId="9">'[8]Wynn DCF Assumptions (LBO)'!#REF!</definedName>
    <definedName name="GrossMargin">'[3]LGF Assumptions'!$B$48:$O$48</definedName>
    <definedName name="Identifier_1" localSheetId="5">#REF!</definedName>
    <definedName name="Identifier_1" localSheetId="3">#REF!</definedName>
    <definedName name="Identifier_1" localSheetId="7">#REF!</definedName>
    <definedName name="Identifier_1" localSheetId="8">#REF!</definedName>
    <definedName name="Identifier_1">#REF!</definedName>
    <definedName name="Identifier_2" localSheetId="3">#REF!</definedName>
    <definedName name="Identifier_2" localSheetId="7">#REF!</definedName>
    <definedName name="Identifier_2" localSheetId="8">#REF!</definedName>
    <definedName name="Identifier_2">#REF!</definedName>
    <definedName name="InventoryPercOfCOGS" localSheetId="3">'[8]Wynn DCF Assumptions (LBO)'!$B$90:$T$90</definedName>
    <definedName name="InventoryPercOfCOGS" localSheetId="7">'[2]Wynn Assumptions'!$B$75:$S$75</definedName>
    <definedName name="InventoryPercOfCOGS">'[9]Wynn DCF Assumptions (LBO)'!$B$90:$T$90</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"11/24/2014 02:22:42"</definedName>
    <definedName name="IQ_NTM" hidden="1">6000</definedName>
    <definedName name="IQ_OPENED55" hidden="1">1</definedName>
    <definedName name="IQ_QTD" hidden="1">750000</definedName>
    <definedName name="IQ_TODAY" hidden="1">0</definedName>
    <definedName name="IQ_WEEK" hidden="1">50000</definedName>
    <definedName name="IQ_YTD" hidden="1">3000</definedName>
    <definedName name="IQ_YTDMONTH" hidden="1">130000</definedName>
    <definedName name="OpCashFlow" localSheetId="3">'[1]LGF Financials'!$B$68:$O$68</definedName>
    <definedName name="OpCashFlow">'[3]LGF Financials'!$B$68:$O$68</definedName>
    <definedName name="OtherCurLiabPercOfCOGS" localSheetId="3">'[1]LGF Assumptions'!$B$83:$O$83</definedName>
    <definedName name="OtherCurLiabPercOfCOGS" localSheetId="7">'[2]Wynn Assumptions'!$B$78:$S$78</definedName>
    <definedName name="OtherCurLiabPercOfCOGS">'[3]LGF Assumptions'!$B$83:$O$83</definedName>
    <definedName name="PartAndResidAsPerSales" localSheetId="3">'DCF - Capital Structure'!#REF!</definedName>
    <definedName name="PartAndResidAsPerSales">'[3]LGF Assumptions'!$B$46:$O$46</definedName>
    <definedName name="RD" localSheetId="5">'[9]Wynn Financials (LBO)'!#REF!</definedName>
    <definedName name="RD" localSheetId="3">'[8]Wynn Financials (LBO)'!#REF!</definedName>
    <definedName name="RD" localSheetId="7">'[2]Wynn Financials'!#REF!</definedName>
    <definedName name="RD" localSheetId="9">'[8]Wynn Financials (LBO)'!#REF!</definedName>
    <definedName name="RD">'[9]Wynn Financials (LBO)'!#REF!</definedName>
    <definedName name="RDPercentofSales" localSheetId="5">'[9]Wynn DCF Assumptions (LBO)'!#REF!</definedName>
    <definedName name="RDPercentofSales" localSheetId="3">'[8]Wynn DCF Assumptions (LBO)'!#REF!</definedName>
    <definedName name="RDPercentofSales" localSheetId="7">'[2]Wynn Assumptions'!#REF!</definedName>
    <definedName name="RDPercentofSales" localSheetId="9">'[8]Wynn DCF Assumptions (LBO)'!#REF!</definedName>
    <definedName name="RDPercentofSales">'[9]Wynn DCF Assumptions (LBO)'!#REF!</definedName>
    <definedName name="Rev_MP" localSheetId="5">#REF!</definedName>
    <definedName name="Rev_MP" localSheetId="3">#REF!</definedName>
    <definedName name="Rev_MP" localSheetId="7">#REF!</definedName>
    <definedName name="Rev_MP" localSheetId="9">#REF!</definedName>
    <definedName name="Rev_MP" localSheetId="8">#REF!</definedName>
    <definedName name="Rev_MP">#REF!</definedName>
    <definedName name="Rev_TV" localSheetId="5">#REF!</definedName>
    <definedName name="Rev_TV" localSheetId="3">#REF!</definedName>
    <definedName name="Rev_TV" localSheetId="7">#REF!</definedName>
    <definedName name="Rev_TV" localSheetId="9">#REF!</definedName>
    <definedName name="Rev_TV" localSheetId="8">#REF!</definedName>
    <definedName name="Rev_TV">#REF!</definedName>
    <definedName name="SGA" localSheetId="3">'[1]LGF Financials'!$B$16:$O$16</definedName>
    <definedName name="SGA" localSheetId="7">'[2]Wynn Financials'!$B$15:$Q$15</definedName>
    <definedName name="SGA" localSheetId="9">'[8]Wynn Financials (LBO)'!#REF!</definedName>
    <definedName name="SGA">'[3]LGF Financials'!$B$16:$O$16</definedName>
    <definedName name="SGAPercentofSales" localSheetId="3">'DCF - Capital Structure'!#REF!</definedName>
    <definedName name="SGAPercentofSales" localSheetId="9">'[8]Wynn DCF Assumptions (LBO)'!#REF!</definedName>
    <definedName name="SGAPercentofSales">'[3]LGF Assumptions'!$B$49:$O$49</definedName>
    <definedName name="TaxRate" localSheetId="3">'DCF - Capital Structure'!#REF!</definedName>
    <definedName name="TaxRate" localSheetId="7">'[2]Wynn Assumptions'!$B$68:$Q$68</definedName>
    <definedName name="TaxRate">'[3]LGF Assumptions'!$B$57:$O$57</definedName>
    <definedName name="thousand">1000</definedName>
    <definedName name="thousands">1000</definedName>
    <definedName name="TotalRevenues" localSheetId="3">'[1]LGF Financials'!$B$9:$O$9</definedName>
    <definedName name="TotalRevenues" localSheetId="7">'[2]Wynn Financials'!$B$10:$S$10</definedName>
    <definedName name="TotalRevenues">'[3]LGF Financials'!$B$9:$O$9</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119" i="21" l="1"/>
  <c r="Q118" i="21"/>
  <c r="Q117" i="21"/>
  <c r="Q116" i="21"/>
  <c r="Q115" i="21"/>
  <c r="Q114" i="21"/>
  <c r="Q113" i="21"/>
  <c r="Q112" i="21"/>
  <c r="Q111" i="21"/>
  <c r="Q110" i="21"/>
  <c r="Q109" i="21"/>
  <c r="Q108" i="21"/>
  <c r="Q107" i="21"/>
  <c r="Q106" i="21"/>
  <c r="Q105" i="21"/>
  <c r="Q104" i="21"/>
  <c r="Q103" i="21"/>
  <c r="Q102" i="21"/>
  <c r="Q101" i="21"/>
  <c r="Q100" i="21"/>
  <c r="Q99" i="21"/>
  <c r="Q98" i="21"/>
  <c r="Q97" i="21"/>
  <c r="Q96" i="21"/>
  <c r="Q95" i="21"/>
  <c r="Q94" i="21"/>
  <c r="Q93" i="21"/>
  <c r="Q92" i="21"/>
  <c r="Q91" i="21"/>
  <c r="Q90" i="21"/>
  <c r="Q89" i="21"/>
  <c r="Q88" i="21"/>
  <c r="Q87" i="21"/>
  <c r="Q86" i="21"/>
  <c r="Q85" i="21"/>
  <c r="Q84" i="21"/>
  <c r="Q83" i="21"/>
  <c r="Q82" i="21"/>
  <c r="Q81" i="21"/>
  <c r="Q80" i="21"/>
  <c r="Q79" i="21"/>
  <c r="Q78" i="21"/>
  <c r="Q77" i="21"/>
  <c r="Q76" i="21"/>
  <c r="Q75" i="21"/>
  <c r="Q74" i="21"/>
  <c r="Q73" i="21"/>
  <c r="Q72" i="21"/>
  <c r="Q71" i="21"/>
  <c r="Q70" i="21"/>
  <c r="Q69" i="21"/>
  <c r="Q68" i="21"/>
  <c r="Q67" i="21"/>
  <c r="Q66" i="21"/>
  <c r="Q65" i="21"/>
  <c r="Q64" i="21"/>
  <c r="Q63" i="21"/>
  <c r="Q62" i="21"/>
  <c r="Q61" i="21"/>
  <c r="Q60" i="21"/>
  <c r="Q59" i="21"/>
  <c r="Q58" i="21"/>
  <c r="Q57" i="21"/>
  <c r="Q56" i="21"/>
  <c r="Q55" i="21"/>
  <c r="Q54" i="21"/>
  <c r="Q53" i="21"/>
  <c r="Q52" i="21"/>
  <c r="Q51" i="21"/>
  <c r="Q50" i="21"/>
  <c r="Q49" i="21"/>
  <c r="Q48" i="21"/>
  <c r="Q47" i="21"/>
  <c r="Q46" i="21"/>
  <c r="Q45" i="21"/>
  <c r="Q44" i="21"/>
  <c r="Q43" i="21"/>
  <c r="Q42" i="21"/>
  <c r="Q41" i="21"/>
  <c r="Q39" i="21"/>
  <c r="Q37" i="21"/>
  <c r="Q35" i="21"/>
  <c r="Q33" i="21"/>
  <c r="Q32" i="21"/>
  <c r="Q31" i="21"/>
  <c r="Q30" i="21"/>
  <c r="Q29" i="21"/>
  <c r="Q28" i="21"/>
  <c r="Q27" i="21"/>
  <c r="Q26" i="21"/>
  <c r="Q24" i="21"/>
  <c r="Q23" i="21"/>
  <c r="Q22" i="21"/>
  <c r="Q21" i="21"/>
  <c r="Q20" i="21"/>
  <c r="Q19" i="21"/>
  <c r="Q18" i="21"/>
  <c r="Q17" i="21"/>
  <c r="Q16" i="21"/>
  <c r="Q15" i="21"/>
  <c r="Q14" i="21"/>
  <c r="Q13" i="21"/>
  <c r="Q12" i="21"/>
  <c r="Q11" i="21"/>
  <c r="Q10" i="21"/>
  <c r="Q9" i="21"/>
  <c r="A1" i="21" l="1"/>
  <c r="Q5" i="21"/>
  <c r="Q1" i="21" s="1"/>
  <c r="B7" i="21"/>
  <c r="Q7" i="21" s="1"/>
  <c r="B10" i="21"/>
  <c r="B17" i="21"/>
  <c r="B18" i="21"/>
  <c r="B19" i="21"/>
  <c r="B20" i="21"/>
  <c r="B21" i="21"/>
  <c r="B22" i="21"/>
  <c r="I23" i="21"/>
  <c r="J24" i="21"/>
  <c r="K24" i="21"/>
  <c r="L24" i="21"/>
  <c r="M24" i="21"/>
  <c r="N24" i="21"/>
  <c r="O24" i="21"/>
  <c r="I25" i="21"/>
  <c r="B26" i="21"/>
  <c r="G26" i="21"/>
  <c r="I26" i="21"/>
  <c r="B27" i="21"/>
  <c r="I27" i="21"/>
  <c r="B28" i="21"/>
  <c r="I28" i="21"/>
  <c r="B29" i="21"/>
  <c r="I29" i="21"/>
  <c r="I32" i="21"/>
  <c r="I16" i="21" s="1"/>
  <c r="J32" i="21"/>
  <c r="J16" i="21" s="1"/>
  <c r="K32" i="21"/>
  <c r="K16" i="21" s="1"/>
  <c r="L32" i="21"/>
  <c r="L16" i="21" s="1"/>
  <c r="M32" i="21"/>
  <c r="M16" i="21" s="1"/>
  <c r="N32" i="21"/>
  <c r="N16" i="21" s="1"/>
  <c r="O32" i="21"/>
  <c r="O16" i="21" s="1"/>
  <c r="B44" i="21"/>
  <c r="I44" i="21"/>
  <c r="B45" i="21"/>
  <c r="I45" i="21"/>
  <c r="D49" i="21"/>
  <c r="D95" i="21" s="1"/>
  <c r="E49" i="21"/>
  <c r="F49" i="21"/>
  <c r="F95" i="21" s="1"/>
  <c r="G49" i="21"/>
  <c r="G95" i="21" s="1"/>
  <c r="H49" i="21"/>
  <c r="I49" i="21"/>
  <c r="J49" i="21"/>
  <c r="J95" i="21" s="1"/>
  <c r="K49" i="21"/>
  <c r="K95" i="21" s="1"/>
  <c r="L49" i="21"/>
  <c r="L95" i="21" s="1"/>
  <c r="M49" i="21"/>
  <c r="N49" i="21"/>
  <c r="N95" i="21" s="1"/>
  <c r="O49" i="21"/>
  <c r="O95" i="21" s="1"/>
  <c r="D50" i="21"/>
  <c r="E50" i="21"/>
  <c r="F50" i="21"/>
  <c r="G50" i="21"/>
  <c r="H50" i="21"/>
  <c r="I50" i="21"/>
  <c r="J50" i="21"/>
  <c r="K50" i="21"/>
  <c r="L50" i="21"/>
  <c r="M50" i="21"/>
  <c r="N50" i="21"/>
  <c r="O50" i="21"/>
  <c r="D52" i="21"/>
  <c r="E52" i="21"/>
  <c r="F53" i="21" s="1"/>
  <c r="F52" i="21"/>
  <c r="G52" i="21"/>
  <c r="H53" i="21" s="1"/>
  <c r="H52" i="21"/>
  <c r="I52" i="21"/>
  <c r="E53" i="21"/>
  <c r="I53" i="21"/>
  <c r="D54" i="21"/>
  <c r="E54" i="21"/>
  <c r="F54" i="21"/>
  <c r="G54" i="21"/>
  <c r="H54" i="21"/>
  <c r="I54" i="21"/>
  <c r="D56" i="21"/>
  <c r="D57" i="21" s="1"/>
  <c r="E56" i="21"/>
  <c r="F56" i="21"/>
  <c r="G56" i="21"/>
  <c r="H56" i="21"/>
  <c r="H57" i="21" s="1"/>
  <c r="I56" i="21"/>
  <c r="G57" i="21"/>
  <c r="D63" i="21"/>
  <c r="E63" i="21"/>
  <c r="E66" i="21" s="1"/>
  <c r="F63" i="21"/>
  <c r="F66" i="21" s="1"/>
  <c r="G63" i="21"/>
  <c r="H63" i="21"/>
  <c r="I63" i="21"/>
  <c r="D66" i="21"/>
  <c r="G66" i="21"/>
  <c r="H66" i="21"/>
  <c r="I66" i="21"/>
  <c r="I73" i="21"/>
  <c r="I85" i="21"/>
  <c r="I86" i="21"/>
  <c r="I87" i="21"/>
  <c r="I88" i="21"/>
  <c r="I89" i="21"/>
  <c r="H90" i="21"/>
  <c r="E95" i="21"/>
  <c r="H95" i="21"/>
  <c r="I95" i="21"/>
  <c r="M95" i="21"/>
  <c r="I98" i="21"/>
  <c r="I99" i="21"/>
  <c r="I101" i="21"/>
  <c r="I104" i="21"/>
  <c r="I105" i="21"/>
  <c r="I107" i="21"/>
  <c r="I110" i="21"/>
  <c r="I111" i="21"/>
  <c r="I113" i="21"/>
  <c r="I116" i="21"/>
  <c r="I118" i="21" s="1"/>
  <c r="I117" i="21"/>
  <c r="I119" i="21"/>
  <c r="G53" i="21" l="1"/>
  <c r="F57" i="21"/>
  <c r="I57" i="21"/>
  <c r="E57" i="21"/>
  <c r="A1" i="20"/>
  <c r="T5" i="20"/>
  <c r="U1" i="20" s="1"/>
  <c r="F7" i="20"/>
  <c r="G7" i="20"/>
  <c r="H7" i="20"/>
  <c r="I7" i="20"/>
  <c r="J7" i="20"/>
  <c r="K7" i="20"/>
  <c r="L7" i="20"/>
  <c r="M7" i="20"/>
  <c r="N7" i="20"/>
  <c r="O7" i="20"/>
  <c r="P7" i="20"/>
  <c r="Q7" i="20"/>
  <c r="R7" i="20"/>
  <c r="T7" i="20"/>
  <c r="B8" i="20"/>
  <c r="T8" i="20" s="1"/>
  <c r="F8" i="20"/>
  <c r="G8" i="20"/>
  <c r="H8" i="20"/>
  <c r="I8" i="20"/>
  <c r="J8" i="20"/>
  <c r="K8" i="20"/>
  <c r="L8" i="20"/>
  <c r="M8" i="20"/>
  <c r="N8" i="20"/>
  <c r="O8" i="20"/>
  <c r="P8" i="20"/>
  <c r="Q8" i="20"/>
  <c r="Q11" i="20" s="1"/>
  <c r="Q45" i="20" s="1"/>
  <c r="R8" i="20"/>
  <c r="B9" i="20"/>
  <c r="T9" i="20" s="1"/>
  <c r="F9" i="20"/>
  <c r="G9" i="20"/>
  <c r="G11" i="20" s="1"/>
  <c r="H12" i="20" s="1"/>
  <c r="H9" i="20"/>
  <c r="I9" i="20"/>
  <c r="J9" i="20"/>
  <c r="K9" i="20"/>
  <c r="K11" i="20" s="1"/>
  <c r="L12" i="20" s="1"/>
  <c r="L9" i="20"/>
  <c r="M9" i="20"/>
  <c r="N9" i="20"/>
  <c r="O9" i="20"/>
  <c r="O11" i="20" s="1"/>
  <c r="P9" i="20"/>
  <c r="Q9" i="20"/>
  <c r="R9" i="20"/>
  <c r="B10" i="20"/>
  <c r="T10" i="20" s="1"/>
  <c r="F10" i="20"/>
  <c r="G10" i="20"/>
  <c r="H10" i="20"/>
  <c r="I10" i="20"/>
  <c r="J10" i="20"/>
  <c r="K10" i="20"/>
  <c r="L10" i="20"/>
  <c r="M10" i="20"/>
  <c r="N10" i="20"/>
  <c r="O10" i="20"/>
  <c r="P10" i="20"/>
  <c r="Q10" i="20"/>
  <c r="R10" i="20"/>
  <c r="H11" i="20"/>
  <c r="I11" i="20"/>
  <c r="L11" i="20"/>
  <c r="P11" i="20"/>
  <c r="T11" i="20"/>
  <c r="P12" i="20"/>
  <c r="T12" i="20"/>
  <c r="B13" i="20"/>
  <c r="T13" i="20" s="1"/>
  <c r="F13" i="20"/>
  <c r="G13" i="20"/>
  <c r="H13" i="20"/>
  <c r="I13" i="20"/>
  <c r="J13" i="20"/>
  <c r="K13" i="20"/>
  <c r="L13" i="20"/>
  <c r="M13" i="20"/>
  <c r="N13" i="20"/>
  <c r="O13" i="20"/>
  <c r="P13" i="20"/>
  <c r="Q13" i="20"/>
  <c r="R13" i="20"/>
  <c r="B14" i="20"/>
  <c r="T14" i="20" s="1"/>
  <c r="F14" i="20"/>
  <c r="F16" i="20" s="1"/>
  <c r="G14" i="20"/>
  <c r="H14" i="20"/>
  <c r="I14" i="20"/>
  <c r="I16" i="20" s="1"/>
  <c r="J14" i="20"/>
  <c r="J16" i="20" s="1"/>
  <c r="K14" i="20"/>
  <c r="L14" i="20"/>
  <c r="M14" i="20"/>
  <c r="N14" i="20"/>
  <c r="N16" i="20" s="1"/>
  <c r="O14" i="20"/>
  <c r="P14" i="20"/>
  <c r="Q14" i="20"/>
  <c r="Q16" i="20" s="1"/>
  <c r="R14" i="20"/>
  <c r="R16" i="20" s="1"/>
  <c r="B15" i="20"/>
  <c r="F15" i="20"/>
  <c r="G15" i="20"/>
  <c r="G16" i="20" s="1"/>
  <c r="H15" i="20"/>
  <c r="I15" i="20"/>
  <c r="J15" i="20"/>
  <c r="K15" i="20"/>
  <c r="K16" i="20" s="1"/>
  <c r="L15" i="20"/>
  <c r="L16" i="20" s="1"/>
  <c r="M15" i="20"/>
  <c r="N15" i="20"/>
  <c r="O15" i="20"/>
  <c r="O16" i="20" s="1"/>
  <c r="P15" i="20"/>
  <c r="Q15" i="20"/>
  <c r="R15" i="20"/>
  <c r="T15" i="20"/>
  <c r="H16" i="20"/>
  <c r="M16" i="20"/>
  <c r="P16" i="20"/>
  <c r="T16" i="20"/>
  <c r="B17" i="20"/>
  <c r="T17" i="20" s="1"/>
  <c r="F17" i="20"/>
  <c r="G17" i="20"/>
  <c r="H17" i="20"/>
  <c r="I17" i="20"/>
  <c r="J17" i="20"/>
  <c r="K17" i="20"/>
  <c r="L17" i="20"/>
  <c r="M17" i="20"/>
  <c r="N17" i="20"/>
  <c r="O17" i="20"/>
  <c r="O21" i="20" s="1"/>
  <c r="P17" i="20"/>
  <c r="Q17" i="20"/>
  <c r="R17" i="20"/>
  <c r="B18" i="20"/>
  <c r="F18" i="20"/>
  <c r="G18" i="20"/>
  <c r="G21" i="20" s="1"/>
  <c r="H18" i="20"/>
  <c r="I18" i="20"/>
  <c r="J18" i="20"/>
  <c r="K18" i="20"/>
  <c r="K21" i="20" s="1"/>
  <c r="L18" i="20"/>
  <c r="M18" i="20"/>
  <c r="N18" i="20"/>
  <c r="O18" i="20"/>
  <c r="P18" i="20"/>
  <c r="Q18" i="20"/>
  <c r="R18" i="20"/>
  <c r="T18" i="20"/>
  <c r="B19" i="20"/>
  <c r="T19" i="20" s="1"/>
  <c r="F19" i="20"/>
  <c r="G19" i="20"/>
  <c r="H19" i="20"/>
  <c r="H21" i="20" s="1"/>
  <c r="H26" i="20" s="1"/>
  <c r="I19" i="20"/>
  <c r="J19" i="20"/>
  <c r="K19" i="20"/>
  <c r="L19" i="20"/>
  <c r="L21" i="20" s="1"/>
  <c r="M19" i="20"/>
  <c r="N19" i="20"/>
  <c r="O19" i="20"/>
  <c r="P19" i="20"/>
  <c r="P21" i="20" s="1"/>
  <c r="P26" i="20" s="1"/>
  <c r="Q19" i="20"/>
  <c r="R19" i="20"/>
  <c r="B20" i="20"/>
  <c r="T20" i="20" s="1"/>
  <c r="F20" i="20"/>
  <c r="G20" i="20"/>
  <c r="H20" i="20"/>
  <c r="I20" i="20"/>
  <c r="J20" i="20"/>
  <c r="K20" i="20"/>
  <c r="L20" i="20"/>
  <c r="M20" i="20"/>
  <c r="N20" i="20"/>
  <c r="O20" i="20"/>
  <c r="P20" i="20"/>
  <c r="Q20" i="20"/>
  <c r="R20" i="20"/>
  <c r="T21" i="20"/>
  <c r="B22" i="20"/>
  <c r="T22" i="20" s="1"/>
  <c r="F22" i="20"/>
  <c r="G22" i="20"/>
  <c r="H22" i="20"/>
  <c r="I47" i="20" s="1"/>
  <c r="I22" i="20"/>
  <c r="J22" i="20"/>
  <c r="K22" i="20"/>
  <c r="L22" i="20"/>
  <c r="M47" i="20" s="1"/>
  <c r="M22" i="20"/>
  <c r="N22" i="20"/>
  <c r="O22" i="20"/>
  <c r="P22" i="20"/>
  <c r="Q47" i="20" s="1"/>
  <c r="Q22" i="20"/>
  <c r="R22" i="20"/>
  <c r="B23" i="20"/>
  <c r="T23" i="20" s="1"/>
  <c r="F23" i="20"/>
  <c r="G23" i="20"/>
  <c r="H23" i="20"/>
  <c r="I23" i="20"/>
  <c r="I48" i="20" s="1"/>
  <c r="J23" i="20"/>
  <c r="K23" i="20"/>
  <c r="L23" i="20"/>
  <c r="M23" i="20"/>
  <c r="M48" i="20" s="1"/>
  <c r="N23" i="20"/>
  <c r="O23" i="20"/>
  <c r="P23" i="20"/>
  <c r="Q23" i="20"/>
  <c r="Q48" i="20" s="1"/>
  <c r="R23" i="20"/>
  <c r="B24" i="20"/>
  <c r="T24" i="20" s="1"/>
  <c r="F24" i="20"/>
  <c r="G24" i="20"/>
  <c r="H24" i="20"/>
  <c r="I24" i="20"/>
  <c r="J24" i="20"/>
  <c r="K24" i="20"/>
  <c r="L24" i="20"/>
  <c r="M24" i="20"/>
  <c r="N24" i="20"/>
  <c r="O24" i="20"/>
  <c r="P24" i="20"/>
  <c r="Q24" i="20"/>
  <c r="R24" i="20"/>
  <c r="B25" i="20"/>
  <c r="T25" i="20" s="1"/>
  <c r="F25" i="20"/>
  <c r="G25" i="20"/>
  <c r="H25" i="20"/>
  <c r="I25" i="20"/>
  <c r="J25" i="20"/>
  <c r="K25" i="20"/>
  <c r="L25" i="20"/>
  <c r="M25" i="20"/>
  <c r="N25" i="20"/>
  <c r="O25" i="20"/>
  <c r="P25" i="20"/>
  <c r="Q25" i="20"/>
  <c r="R25" i="20"/>
  <c r="T26" i="20"/>
  <c r="T27" i="20"/>
  <c r="T28" i="20"/>
  <c r="B29" i="20"/>
  <c r="F29" i="20"/>
  <c r="G29" i="20"/>
  <c r="H29" i="20"/>
  <c r="I29" i="20"/>
  <c r="J29" i="20"/>
  <c r="K29" i="20"/>
  <c r="L29" i="20"/>
  <c r="M29" i="20"/>
  <c r="N29" i="20"/>
  <c r="O29" i="20"/>
  <c r="P29" i="20"/>
  <c r="Q29" i="20"/>
  <c r="R29" i="20"/>
  <c r="T29" i="20"/>
  <c r="B30" i="20"/>
  <c r="T30" i="20" s="1"/>
  <c r="F30" i="20"/>
  <c r="G30" i="20"/>
  <c r="H30" i="20"/>
  <c r="I30" i="20"/>
  <c r="J30" i="20"/>
  <c r="K30" i="20"/>
  <c r="L30" i="20"/>
  <c r="M30" i="20"/>
  <c r="N30" i="20"/>
  <c r="O30" i="20"/>
  <c r="P30" i="20"/>
  <c r="Q30" i="20"/>
  <c r="R30" i="20"/>
  <c r="B31" i="20"/>
  <c r="T31" i="20" s="1"/>
  <c r="F31" i="20"/>
  <c r="G31" i="20"/>
  <c r="H31" i="20"/>
  <c r="I31" i="20"/>
  <c r="J31" i="20"/>
  <c r="K31" i="20"/>
  <c r="L31" i="20"/>
  <c r="M31" i="20"/>
  <c r="N31" i="20"/>
  <c r="O31" i="20"/>
  <c r="P31" i="20"/>
  <c r="Q31" i="20"/>
  <c r="R31" i="20"/>
  <c r="T32" i="20"/>
  <c r="T33" i="20"/>
  <c r="T34" i="20"/>
  <c r="T35" i="20"/>
  <c r="T57" i="20"/>
  <c r="T58" i="20"/>
  <c r="F59" i="20"/>
  <c r="G59" i="20"/>
  <c r="H59" i="20"/>
  <c r="I59" i="20"/>
  <c r="J59" i="20"/>
  <c r="K59" i="20"/>
  <c r="L59" i="20"/>
  <c r="M59" i="20"/>
  <c r="N59" i="20"/>
  <c r="O59" i="20"/>
  <c r="P59" i="20"/>
  <c r="Q59" i="20"/>
  <c r="R59" i="20"/>
  <c r="T59" i="20"/>
  <c r="B60" i="20"/>
  <c r="T60" i="20" s="1"/>
  <c r="B61" i="20"/>
  <c r="T61" i="20" s="1"/>
  <c r="F61" i="20"/>
  <c r="D60" i="21" s="1"/>
  <c r="G61" i="20"/>
  <c r="E60" i="21" s="1"/>
  <c r="H61" i="20"/>
  <c r="F60" i="21" s="1"/>
  <c r="I61" i="20"/>
  <c r="G60" i="21" s="1"/>
  <c r="J61" i="20"/>
  <c r="H60" i="21" s="1"/>
  <c r="K61" i="20"/>
  <c r="I60" i="21" s="1"/>
  <c r="L61" i="20"/>
  <c r="M61" i="20"/>
  <c r="N61" i="20"/>
  <c r="O61" i="20"/>
  <c r="P61" i="20"/>
  <c r="Q61" i="20"/>
  <c r="R61" i="20"/>
  <c r="B62" i="20"/>
  <c r="T62" i="20" s="1"/>
  <c r="F62" i="20"/>
  <c r="D59" i="21" s="1"/>
  <c r="G62" i="20"/>
  <c r="E59" i="21" s="1"/>
  <c r="E62" i="21" s="1"/>
  <c r="E72" i="21" s="1"/>
  <c r="H62" i="20"/>
  <c r="F59" i="21" s="1"/>
  <c r="I62" i="20"/>
  <c r="G59" i="21" s="1"/>
  <c r="J62" i="20"/>
  <c r="H59" i="21" s="1"/>
  <c r="K62" i="20"/>
  <c r="I59" i="21" s="1"/>
  <c r="I62" i="21" s="1"/>
  <c r="I72" i="21" s="1"/>
  <c r="L62" i="20"/>
  <c r="M62" i="20"/>
  <c r="N62" i="20"/>
  <c r="O62" i="20"/>
  <c r="P62" i="20"/>
  <c r="Q62" i="20"/>
  <c r="R62" i="20"/>
  <c r="F63" i="20"/>
  <c r="D61" i="21" s="1"/>
  <c r="D62" i="21" s="1"/>
  <c r="D72" i="21" s="1"/>
  <c r="G63" i="20"/>
  <c r="E61" i="21" s="1"/>
  <c r="H63" i="20"/>
  <c r="F61" i="21" s="1"/>
  <c r="I63" i="20"/>
  <c r="G61" i="21" s="1"/>
  <c r="J63" i="20"/>
  <c r="H61" i="21" s="1"/>
  <c r="H62" i="21" s="1"/>
  <c r="H72" i="21" s="1"/>
  <c r="K63" i="20"/>
  <c r="I61" i="21" s="1"/>
  <c r="L63" i="20"/>
  <c r="M63" i="20"/>
  <c r="N63" i="20"/>
  <c r="O63" i="20"/>
  <c r="P63" i="20"/>
  <c r="Q63" i="20"/>
  <c r="R63" i="20"/>
  <c r="T63" i="20"/>
  <c r="T64" i="20"/>
  <c r="F65" i="20"/>
  <c r="G65" i="20"/>
  <c r="H65" i="20"/>
  <c r="I65" i="20"/>
  <c r="J65" i="20"/>
  <c r="K65" i="20"/>
  <c r="L65" i="20"/>
  <c r="M65" i="20"/>
  <c r="N65" i="20"/>
  <c r="O65" i="20"/>
  <c r="P65" i="20"/>
  <c r="Q65" i="20"/>
  <c r="R65" i="20"/>
  <c r="T65" i="20"/>
  <c r="F66" i="20"/>
  <c r="G66" i="20"/>
  <c r="H66" i="20"/>
  <c r="I66" i="20"/>
  <c r="J66" i="20"/>
  <c r="K66" i="20"/>
  <c r="L66" i="20"/>
  <c r="M66" i="20"/>
  <c r="N66" i="20"/>
  <c r="O66" i="20"/>
  <c r="P66" i="20"/>
  <c r="Q66" i="20"/>
  <c r="R66" i="20"/>
  <c r="T66" i="20"/>
  <c r="B67" i="20"/>
  <c r="F67" i="20"/>
  <c r="G67" i="20"/>
  <c r="H67" i="20"/>
  <c r="I67" i="20"/>
  <c r="J67" i="20"/>
  <c r="K67" i="20"/>
  <c r="L67" i="20"/>
  <c r="M67" i="20"/>
  <c r="N67" i="20"/>
  <c r="O67" i="20"/>
  <c r="P67" i="20"/>
  <c r="Q67" i="20"/>
  <c r="R67" i="20"/>
  <c r="T67" i="20"/>
  <c r="F68" i="20"/>
  <c r="G68" i="20"/>
  <c r="H68" i="20"/>
  <c r="I68" i="20"/>
  <c r="J68" i="20"/>
  <c r="K68" i="20"/>
  <c r="L68" i="20"/>
  <c r="M68" i="20"/>
  <c r="N68" i="20"/>
  <c r="O68" i="20"/>
  <c r="P68" i="20"/>
  <c r="Q68" i="20"/>
  <c r="R68" i="20"/>
  <c r="T68" i="20"/>
  <c r="T69" i="20"/>
  <c r="F70" i="20"/>
  <c r="G70" i="20"/>
  <c r="H70" i="20"/>
  <c r="I70" i="20"/>
  <c r="J70" i="20"/>
  <c r="K70" i="20"/>
  <c r="L70" i="20"/>
  <c r="M70" i="20"/>
  <c r="N70" i="20"/>
  <c r="O70" i="20"/>
  <c r="P70" i="20"/>
  <c r="Q70" i="20"/>
  <c r="R70" i="20"/>
  <c r="T70" i="20"/>
  <c r="F71" i="20"/>
  <c r="G71" i="20"/>
  <c r="H71" i="20"/>
  <c r="I71" i="20"/>
  <c r="J71" i="20"/>
  <c r="K71" i="20"/>
  <c r="L71" i="20"/>
  <c r="M71" i="20"/>
  <c r="N71" i="20"/>
  <c r="O71" i="20"/>
  <c r="P71" i="20"/>
  <c r="Q71" i="20"/>
  <c r="R71" i="20"/>
  <c r="T71" i="20"/>
  <c r="T72" i="20"/>
  <c r="T73" i="20"/>
  <c r="F74" i="20"/>
  <c r="G74" i="20"/>
  <c r="H74" i="20"/>
  <c r="I74" i="20"/>
  <c r="J74" i="20"/>
  <c r="K74" i="20"/>
  <c r="L74" i="20"/>
  <c r="M74" i="20"/>
  <c r="N74" i="20"/>
  <c r="O74" i="20"/>
  <c r="P74" i="20"/>
  <c r="Q74" i="20"/>
  <c r="R74" i="20"/>
  <c r="T74" i="20"/>
  <c r="F75" i="20"/>
  <c r="F76" i="20" s="1"/>
  <c r="G75" i="20"/>
  <c r="H75" i="20"/>
  <c r="I75" i="20"/>
  <c r="J75" i="20"/>
  <c r="K75" i="20"/>
  <c r="L75" i="20"/>
  <c r="M75" i="20"/>
  <c r="M76" i="20" s="1"/>
  <c r="N75" i="20"/>
  <c r="O75" i="20"/>
  <c r="P75" i="20"/>
  <c r="Q75" i="20"/>
  <c r="Q76" i="20" s="1"/>
  <c r="R75" i="20"/>
  <c r="T75" i="20"/>
  <c r="I76" i="20"/>
  <c r="N76" i="20"/>
  <c r="T76" i="20"/>
  <c r="G77" i="20"/>
  <c r="H77" i="20"/>
  <c r="I77" i="20"/>
  <c r="J77" i="20"/>
  <c r="K77" i="20"/>
  <c r="L77" i="20"/>
  <c r="M77" i="20"/>
  <c r="N77" i="20"/>
  <c r="O77" i="20"/>
  <c r="P77" i="20"/>
  <c r="Q77" i="20"/>
  <c r="R77" i="20"/>
  <c r="T77" i="20"/>
  <c r="T78" i="20"/>
  <c r="T79" i="20"/>
  <c r="T80" i="20"/>
  <c r="T81" i="20"/>
  <c r="F82" i="20"/>
  <c r="G82" i="20"/>
  <c r="H82" i="20"/>
  <c r="I82" i="20"/>
  <c r="J82" i="20"/>
  <c r="K82" i="20"/>
  <c r="L82" i="20"/>
  <c r="M82" i="20"/>
  <c r="N82" i="20"/>
  <c r="O82" i="20"/>
  <c r="P82" i="20"/>
  <c r="Q82" i="20"/>
  <c r="R82" i="20"/>
  <c r="T82" i="20"/>
  <c r="F83" i="20"/>
  <c r="G83" i="20"/>
  <c r="H83" i="20"/>
  <c r="I83" i="20"/>
  <c r="J83" i="20"/>
  <c r="K83" i="20"/>
  <c r="L83" i="20"/>
  <c r="M83" i="20"/>
  <c r="N83" i="20"/>
  <c r="O83" i="20"/>
  <c r="P83" i="20"/>
  <c r="Q83" i="20"/>
  <c r="R83" i="20"/>
  <c r="T83" i="20"/>
  <c r="B84" i="20"/>
  <c r="T84" i="20" s="1"/>
  <c r="F84" i="20"/>
  <c r="G84" i="20"/>
  <c r="H84" i="20"/>
  <c r="I84" i="20"/>
  <c r="J84" i="20"/>
  <c r="K84" i="20"/>
  <c r="L84" i="20"/>
  <c r="M84" i="20"/>
  <c r="N84" i="20"/>
  <c r="O84" i="20"/>
  <c r="P84" i="20"/>
  <c r="Q84" i="20"/>
  <c r="R84" i="20"/>
  <c r="B85" i="20"/>
  <c r="T85" i="20" s="1"/>
  <c r="F85" i="20"/>
  <c r="G85" i="20"/>
  <c r="H85" i="20"/>
  <c r="I85" i="20"/>
  <c r="J85" i="20"/>
  <c r="K85" i="20"/>
  <c r="L85" i="20"/>
  <c r="M85" i="20"/>
  <c r="N85" i="20"/>
  <c r="O85" i="20"/>
  <c r="P85" i="20"/>
  <c r="Q85" i="20"/>
  <c r="R85" i="20"/>
  <c r="B86" i="20"/>
  <c r="D86" i="20"/>
  <c r="E86" i="20"/>
  <c r="F86" i="20"/>
  <c r="G86" i="20"/>
  <c r="H86" i="20"/>
  <c r="I86" i="20"/>
  <c r="J86" i="20"/>
  <c r="K86" i="20"/>
  <c r="L86" i="20"/>
  <c r="M86" i="20"/>
  <c r="N86" i="20"/>
  <c r="O86" i="20"/>
  <c r="P86" i="20"/>
  <c r="Q86" i="20"/>
  <c r="R86" i="20"/>
  <c r="T86" i="20"/>
  <c r="T87" i="20"/>
  <c r="T88" i="20"/>
  <c r="T89" i="20"/>
  <c r="T36" i="20"/>
  <c r="T37" i="20"/>
  <c r="F38" i="20"/>
  <c r="G38" i="20"/>
  <c r="H38" i="20"/>
  <c r="I38" i="20"/>
  <c r="J38" i="20"/>
  <c r="K38" i="20"/>
  <c r="L38" i="20"/>
  <c r="M38" i="20"/>
  <c r="N38" i="20"/>
  <c r="O38" i="20"/>
  <c r="P38" i="20"/>
  <c r="Q38" i="20"/>
  <c r="R38" i="20"/>
  <c r="T38" i="20"/>
  <c r="H39" i="20"/>
  <c r="L39" i="20"/>
  <c r="P39" i="20"/>
  <c r="T39" i="20"/>
  <c r="G40" i="20"/>
  <c r="H40" i="20"/>
  <c r="K40" i="20"/>
  <c r="L40" i="20"/>
  <c r="O40" i="20"/>
  <c r="P40" i="20"/>
  <c r="T40" i="20"/>
  <c r="H41" i="20"/>
  <c r="I41" i="20"/>
  <c r="J41" i="20"/>
  <c r="L41" i="20"/>
  <c r="M41" i="20"/>
  <c r="N41" i="20"/>
  <c r="P41" i="20"/>
  <c r="Q41" i="20"/>
  <c r="T41" i="20"/>
  <c r="H42" i="20"/>
  <c r="I42" i="20"/>
  <c r="J42" i="20"/>
  <c r="L42" i="20"/>
  <c r="M42" i="20"/>
  <c r="N42" i="20"/>
  <c r="P42" i="20"/>
  <c r="Q42" i="20"/>
  <c r="R42" i="20"/>
  <c r="T42" i="20"/>
  <c r="G43" i="20"/>
  <c r="H43" i="20"/>
  <c r="K43" i="20"/>
  <c r="L43" i="20"/>
  <c r="O43" i="20"/>
  <c r="P43" i="20"/>
  <c r="T43" i="20"/>
  <c r="G44" i="20"/>
  <c r="H44" i="20"/>
  <c r="K44" i="20"/>
  <c r="L44" i="20"/>
  <c r="O44" i="20"/>
  <c r="P44" i="20"/>
  <c r="T44" i="20"/>
  <c r="H45" i="20"/>
  <c r="I45" i="20"/>
  <c r="L45" i="20"/>
  <c r="P45" i="20"/>
  <c r="T45" i="20"/>
  <c r="T46" i="20"/>
  <c r="G47" i="20"/>
  <c r="H47" i="20"/>
  <c r="J47" i="20"/>
  <c r="K47" i="20"/>
  <c r="L47" i="20"/>
  <c r="N47" i="20"/>
  <c r="O47" i="20"/>
  <c r="P47" i="20"/>
  <c r="R47" i="20"/>
  <c r="T47" i="20"/>
  <c r="G48" i="20"/>
  <c r="H48" i="20"/>
  <c r="J48" i="20"/>
  <c r="K48" i="20"/>
  <c r="L48" i="20"/>
  <c r="N48" i="20"/>
  <c r="O48" i="20"/>
  <c r="P48" i="20"/>
  <c r="R48" i="20"/>
  <c r="T48" i="20"/>
  <c r="G49" i="20"/>
  <c r="H49" i="20"/>
  <c r="I49" i="20"/>
  <c r="J49" i="20"/>
  <c r="K49" i="20"/>
  <c r="L49" i="20"/>
  <c r="M49" i="20"/>
  <c r="N49" i="20"/>
  <c r="O49" i="20"/>
  <c r="P49" i="20"/>
  <c r="Q49" i="20"/>
  <c r="R49" i="20"/>
  <c r="T49" i="20"/>
  <c r="T50" i="20"/>
  <c r="G51" i="20"/>
  <c r="H51" i="20"/>
  <c r="I51" i="20"/>
  <c r="J51" i="20"/>
  <c r="K51" i="20"/>
  <c r="L51" i="20"/>
  <c r="M51" i="20"/>
  <c r="N51" i="20"/>
  <c r="O51" i="20"/>
  <c r="P51" i="20"/>
  <c r="Q51" i="20"/>
  <c r="R51" i="20"/>
  <c r="T51" i="20"/>
  <c r="G52" i="20"/>
  <c r="H52" i="20"/>
  <c r="I52" i="20"/>
  <c r="K52" i="20"/>
  <c r="L52" i="20"/>
  <c r="M52" i="20"/>
  <c r="O52" i="20"/>
  <c r="P52" i="20"/>
  <c r="Q52" i="20"/>
  <c r="T52" i="20"/>
  <c r="G53" i="20"/>
  <c r="H53" i="20"/>
  <c r="I53" i="20"/>
  <c r="J53" i="20"/>
  <c r="K53" i="20"/>
  <c r="L53" i="20"/>
  <c r="M53" i="20"/>
  <c r="N53" i="20"/>
  <c r="O53" i="20"/>
  <c r="P53" i="20"/>
  <c r="Q53" i="20"/>
  <c r="R53" i="20"/>
  <c r="T53" i="20"/>
  <c r="T54" i="20"/>
  <c r="T55" i="20"/>
  <c r="T56" i="20"/>
  <c r="T90" i="20"/>
  <c r="T91" i="20"/>
  <c r="F92" i="20"/>
  <c r="G92" i="20"/>
  <c r="H92" i="20"/>
  <c r="I92" i="20"/>
  <c r="J92" i="20"/>
  <c r="K92" i="20"/>
  <c r="L92" i="20"/>
  <c r="M92" i="20"/>
  <c r="N92" i="20"/>
  <c r="O92" i="20"/>
  <c r="P92" i="20"/>
  <c r="Q92" i="20"/>
  <c r="R92" i="20"/>
  <c r="T92" i="20"/>
  <c r="F93" i="20"/>
  <c r="G93" i="20"/>
  <c r="H93" i="20"/>
  <c r="I93" i="20"/>
  <c r="J93" i="20"/>
  <c r="K93" i="20"/>
  <c r="L93" i="20"/>
  <c r="M93" i="20"/>
  <c r="N93" i="20"/>
  <c r="O93" i="20"/>
  <c r="P93" i="20"/>
  <c r="Q93" i="20"/>
  <c r="R93" i="20"/>
  <c r="T93" i="20"/>
  <c r="T94" i="20"/>
  <c r="T95" i="20"/>
  <c r="C96" i="20"/>
  <c r="T96" i="20"/>
  <c r="C97" i="20"/>
  <c r="O97" i="20"/>
  <c r="T97" i="20"/>
  <c r="C98" i="20"/>
  <c r="O98" i="20"/>
  <c r="T98" i="20"/>
  <c r="C99" i="20"/>
  <c r="J99" i="20"/>
  <c r="O99" i="20"/>
  <c r="T99" i="20"/>
  <c r="C100" i="20"/>
  <c r="J100" i="20"/>
  <c r="O100" i="20"/>
  <c r="T100" i="20"/>
  <c r="C101" i="20"/>
  <c r="J101" i="20"/>
  <c r="O101" i="20"/>
  <c r="T101" i="20"/>
  <c r="C102" i="20"/>
  <c r="J102" i="20"/>
  <c r="O102" i="20"/>
  <c r="T102" i="20"/>
  <c r="C103" i="20"/>
  <c r="J103" i="20"/>
  <c r="O103" i="20"/>
  <c r="T103" i="20"/>
  <c r="C104" i="20"/>
  <c r="J104" i="20"/>
  <c r="O104" i="20"/>
  <c r="T104" i="20"/>
  <c r="C105" i="20"/>
  <c r="J105" i="20"/>
  <c r="O105" i="20"/>
  <c r="T105" i="20"/>
  <c r="C106" i="20"/>
  <c r="J106" i="20"/>
  <c r="O106" i="20"/>
  <c r="T106" i="20"/>
  <c r="C107" i="20"/>
  <c r="J107" i="20"/>
  <c r="O107" i="20"/>
  <c r="T107" i="20"/>
  <c r="F62" i="21" l="1"/>
  <c r="F72" i="21" s="1"/>
  <c r="R21" i="20"/>
  <c r="N21" i="20"/>
  <c r="J21" i="20"/>
  <c r="F21" i="20"/>
  <c r="R11" i="20"/>
  <c r="R45" i="20" s="1"/>
  <c r="L26" i="20"/>
  <c r="P76" i="20"/>
  <c r="L76" i="20"/>
  <c r="H76" i="20"/>
  <c r="R76" i="20"/>
  <c r="J76" i="20"/>
  <c r="O76" i="20"/>
  <c r="K76" i="20"/>
  <c r="G76" i="20"/>
  <c r="G62" i="21"/>
  <c r="G72" i="21" s="1"/>
  <c r="M11" i="20"/>
  <c r="M12" i="20"/>
  <c r="M39" i="20"/>
  <c r="M44" i="20"/>
  <c r="M45" i="20"/>
  <c r="R26" i="20"/>
  <c r="R12" i="20"/>
  <c r="R39" i="20"/>
  <c r="R43" i="20"/>
  <c r="J11" i="20"/>
  <c r="K41" i="20"/>
  <c r="F11" i="20"/>
  <c r="F26" i="20" s="1"/>
  <c r="G41" i="20"/>
  <c r="R52" i="20"/>
  <c r="N52" i="20"/>
  <c r="J52" i="20"/>
  <c r="R41" i="20"/>
  <c r="O45" i="20"/>
  <c r="O42" i="20"/>
  <c r="K45" i="20"/>
  <c r="K42" i="20"/>
  <c r="G45" i="20"/>
  <c r="G42" i="20"/>
  <c r="N11" i="20"/>
  <c r="N44" i="20" s="1"/>
  <c r="O41" i="20"/>
  <c r="T6" i="20"/>
  <c r="T1" i="20" s="1"/>
  <c r="R44" i="20"/>
  <c r="P32" i="20"/>
  <c r="P28" i="20"/>
  <c r="P50" i="20" s="1"/>
  <c r="L32" i="20"/>
  <c r="L28" i="20"/>
  <c r="L50" i="20" s="1"/>
  <c r="H32" i="20"/>
  <c r="H28" i="20"/>
  <c r="H50" i="20" s="1"/>
  <c r="Q21" i="20"/>
  <c r="Q26" i="20" s="1"/>
  <c r="M21" i="20"/>
  <c r="M26" i="20" s="1"/>
  <c r="I21" i="20"/>
  <c r="I26" i="20" s="1"/>
  <c r="I46" i="20" s="1"/>
  <c r="Q12" i="20"/>
  <c r="Q39" i="20"/>
  <c r="Q44" i="20"/>
  <c r="I12" i="20"/>
  <c r="I39" i="20"/>
  <c r="I44" i="20"/>
  <c r="O26" i="20"/>
  <c r="O12" i="20"/>
  <c r="O39" i="20"/>
  <c r="K26" i="20"/>
  <c r="K39" i="20"/>
  <c r="G26" i="20"/>
  <c r="G12" i="20"/>
  <c r="Q43" i="20"/>
  <c r="Q40" i="20"/>
  <c r="R40" i="20"/>
  <c r="M43" i="20"/>
  <c r="M40" i="20"/>
  <c r="N40" i="20"/>
  <c r="I43" i="20"/>
  <c r="I40" i="20"/>
  <c r="J40" i="20"/>
  <c r="F40" i="8"/>
  <c r="E40" i="8"/>
  <c r="C17" i="6"/>
  <c r="C9" i="6"/>
  <c r="K36" i="4"/>
  <c r="T98" i="3"/>
  <c r="T97" i="3"/>
  <c r="T96" i="3"/>
  <c r="T95" i="3"/>
  <c r="T94" i="3"/>
  <c r="T93" i="3"/>
  <c r="T92" i="3"/>
  <c r="T91" i="3"/>
  <c r="T90" i="3"/>
  <c r="T89" i="3"/>
  <c r="T88" i="3"/>
  <c r="T87" i="3"/>
  <c r="T86" i="3"/>
  <c r="T85" i="3"/>
  <c r="T84" i="3"/>
  <c r="T83" i="3"/>
  <c r="T82" i="3"/>
  <c r="T81" i="3"/>
  <c r="T80" i="3"/>
  <c r="T79" i="3"/>
  <c r="T78" i="3"/>
  <c r="T77" i="3"/>
  <c r="T76" i="3"/>
  <c r="T75" i="3"/>
  <c r="T74" i="3"/>
  <c r="T73" i="3"/>
  <c r="T72" i="3"/>
  <c r="T71" i="3"/>
  <c r="T70" i="3"/>
  <c r="T69" i="3"/>
  <c r="T68" i="3"/>
  <c r="T67" i="3"/>
  <c r="T66" i="3"/>
  <c r="T65" i="3"/>
  <c r="T64" i="3"/>
  <c r="T63" i="3"/>
  <c r="T62" i="3"/>
  <c r="T61" i="3"/>
  <c r="T60" i="3"/>
  <c r="T59" i="3"/>
  <c r="T58" i="3"/>
  <c r="T57" i="3"/>
  <c r="T56" i="3"/>
  <c r="T55" i="3"/>
  <c r="T54" i="3"/>
  <c r="T53" i="3"/>
  <c r="T52" i="3"/>
  <c r="T51" i="3"/>
  <c r="T50" i="3"/>
  <c r="T49" i="3"/>
  <c r="T48" i="3"/>
  <c r="T47" i="3"/>
  <c r="T46" i="3"/>
  <c r="T45" i="3"/>
  <c r="T44" i="3"/>
  <c r="T43" i="3"/>
  <c r="T42" i="3"/>
  <c r="T41" i="3"/>
  <c r="T40" i="3"/>
  <c r="T39" i="3"/>
  <c r="T38" i="3"/>
  <c r="T37" i="3"/>
  <c r="T36" i="3"/>
  <c r="T35" i="3"/>
  <c r="T34" i="3"/>
  <c r="T33" i="3"/>
  <c r="T32" i="3"/>
  <c r="T31" i="3"/>
  <c r="T30" i="3"/>
  <c r="T29" i="3"/>
  <c r="T28" i="3"/>
  <c r="T27" i="3"/>
  <c r="T26" i="3"/>
  <c r="T25" i="3"/>
  <c r="T24" i="3"/>
  <c r="T23" i="3"/>
  <c r="T22" i="3"/>
  <c r="T21" i="3"/>
  <c r="T20" i="3"/>
  <c r="T19" i="3"/>
  <c r="T18" i="3"/>
  <c r="T17" i="3"/>
  <c r="T16" i="3"/>
  <c r="T15" i="3"/>
  <c r="T14" i="3"/>
  <c r="T13" i="3"/>
  <c r="T12" i="3"/>
  <c r="T11" i="3"/>
  <c r="T10" i="3"/>
  <c r="T9" i="3"/>
  <c r="R80" i="3"/>
  <c r="Q80" i="3"/>
  <c r="P80" i="3"/>
  <c r="O80" i="3"/>
  <c r="N80" i="3"/>
  <c r="M80" i="3"/>
  <c r="L80" i="3"/>
  <c r="K80" i="3"/>
  <c r="J80" i="3"/>
  <c r="I80" i="3"/>
  <c r="H80" i="3"/>
  <c r="G80" i="3"/>
  <c r="F80" i="3"/>
  <c r="T8" i="3"/>
  <c r="T5" i="3"/>
  <c r="N167" i="9"/>
  <c r="N166" i="9"/>
  <c r="N165" i="9"/>
  <c r="N160" i="9"/>
  <c r="N159" i="9"/>
  <c r="N158" i="9"/>
  <c r="N156" i="9"/>
  <c r="N155" i="9"/>
  <c r="N154" i="9"/>
  <c r="N152" i="9"/>
  <c r="N151" i="9"/>
  <c r="N149" i="9"/>
  <c r="N148" i="9"/>
  <c r="N146" i="9"/>
  <c r="N145" i="9"/>
  <c r="N144" i="9"/>
  <c r="N143" i="9"/>
  <c r="N142" i="9"/>
  <c r="N141" i="9"/>
  <c r="N140" i="9"/>
  <c r="N139" i="9"/>
  <c r="N138" i="9"/>
  <c r="N137" i="9"/>
  <c r="N136" i="9"/>
  <c r="N131" i="9"/>
  <c r="N130" i="9"/>
  <c r="N125" i="9"/>
  <c r="N124" i="9"/>
  <c r="N123" i="9"/>
  <c r="N122" i="9"/>
  <c r="N121" i="9"/>
  <c r="N120" i="9"/>
  <c r="N115" i="9"/>
  <c r="N114" i="9"/>
  <c r="N113" i="9"/>
  <c r="N112" i="9"/>
  <c r="N111" i="9"/>
  <c r="N109" i="9"/>
  <c r="N108" i="9"/>
  <c r="N107" i="9"/>
  <c r="N106" i="9"/>
  <c r="N105" i="9"/>
  <c r="N104" i="9"/>
  <c r="N103" i="9"/>
  <c r="N102" i="9"/>
  <c r="N101" i="9"/>
  <c r="N99" i="9"/>
  <c r="N98" i="9"/>
  <c r="N97" i="9"/>
  <c r="N96"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0" i="9"/>
  <c r="N49" i="9"/>
  <c r="N48" i="9"/>
  <c r="N47" i="9"/>
  <c r="N54" i="9"/>
  <c r="N53" i="9"/>
  <c r="N52" i="9"/>
  <c r="N51" i="9"/>
  <c r="N46" i="9"/>
  <c r="N45" i="9"/>
  <c r="N44" i="9"/>
  <c r="N43" i="9"/>
  <c r="N42" i="9"/>
  <c r="N41" i="9"/>
  <c r="N40" i="9"/>
  <c r="N39" i="9"/>
  <c r="N38" i="9"/>
  <c r="N37" i="9"/>
  <c r="N36" i="9"/>
  <c r="N35" i="9"/>
  <c r="N34" i="9"/>
  <c r="N33" i="9"/>
  <c r="N32" i="9"/>
  <c r="N31" i="9"/>
  <c r="N30" i="9"/>
  <c r="N29" i="9"/>
  <c r="N28" i="9"/>
  <c r="N27" i="9"/>
  <c r="N26" i="9"/>
  <c r="N25" i="9"/>
  <c r="N24" i="9"/>
  <c r="N23" i="9"/>
  <c r="N22" i="9"/>
  <c r="N21" i="9"/>
  <c r="N20" i="9"/>
  <c r="N19" i="9"/>
  <c r="N18" i="9"/>
  <c r="N17" i="9"/>
  <c r="N16" i="9"/>
  <c r="N12" i="9"/>
  <c r="N8" i="9"/>
  <c r="N7" i="9"/>
  <c r="A1" i="3"/>
  <c r="T43" i="5"/>
  <c r="T42" i="5"/>
  <c r="T41" i="5"/>
  <c r="T40" i="5"/>
  <c r="T39" i="5"/>
  <c r="T38" i="5"/>
  <c r="T37" i="5"/>
  <c r="T36" i="5"/>
  <c r="T35" i="5"/>
  <c r="T34" i="5"/>
  <c r="T33" i="5"/>
  <c r="T32" i="5"/>
  <c r="T31" i="5"/>
  <c r="T30" i="5"/>
  <c r="T29" i="5"/>
  <c r="T28" i="5"/>
  <c r="T27" i="5"/>
  <c r="T26" i="5"/>
  <c r="T25" i="5"/>
  <c r="T24" i="5"/>
  <c r="T23" i="5"/>
  <c r="T22" i="5"/>
  <c r="T21" i="5"/>
  <c r="T20" i="5"/>
  <c r="T19" i="5"/>
  <c r="T18" i="5"/>
  <c r="T17" i="5"/>
  <c r="T16" i="5"/>
  <c r="T15" i="5"/>
  <c r="T14" i="5"/>
  <c r="T13" i="5"/>
  <c r="T12" i="5"/>
  <c r="T11" i="5"/>
  <c r="T10" i="5"/>
  <c r="T9" i="5"/>
  <c r="T8" i="5"/>
  <c r="A1" i="4"/>
  <c r="R46" i="20" l="1"/>
  <c r="R27" i="20"/>
  <c r="Q32" i="20"/>
  <c r="Q28" i="20"/>
  <c r="Q50" i="20" s="1"/>
  <c r="Q46" i="20"/>
  <c r="Q27" i="20"/>
  <c r="K28" i="20"/>
  <c r="K50" i="20" s="1"/>
  <c r="L27" i="20"/>
  <c r="K32" i="20"/>
  <c r="L46" i="20"/>
  <c r="Q33" i="20"/>
  <c r="P60" i="20"/>
  <c r="P34" i="20"/>
  <c r="P55" i="20"/>
  <c r="Q54" i="20"/>
  <c r="G46" i="20"/>
  <c r="G27" i="20"/>
  <c r="F32" i="20"/>
  <c r="F28" i="20"/>
  <c r="M32" i="20"/>
  <c r="M28" i="20"/>
  <c r="M50" i="20" s="1"/>
  <c r="M46" i="20"/>
  <c r="G28" i="20"/>
  <c r="G50" i="20" s="1"/>
  <c r="H27" i="20"/>
  <c r="G32" i="20"/>
  <c r="H46" i="20"/>
  <c r="L60" i="20"/>
  <c r="M54" i="20"/>
  <c r="L34" i="20"/>
  <c r="L55" i="20"/>
  <c r="J46" i="20"/>
  <c r="J27" i="20"/>
  <c r="I32" i="20"/>
  <c r="I28" i="20"/>
  <c r="I50" i="20" s="1"/>
  <c r="I33" i="20"/>
  <c r="H34" i="20"/>
  <c r="H55" i="20"/>
  <c r="H60" i="20"/>
  <c r="I54" i="20"/>
  <c r="M27" i="20"/>
  <c r="J26" i="20"/>
  <c r="J12" i="20"/>
  <c r="J39" i="20"/>
  <c r="J43" i="20"/>
  <c r="J45" i="20"/>
  <c r="J44" i="20"/>
  <c r="R32" i="20"/>
  <c r="R28" i="20"/>
  <c r="R50" i="20" s="1"/>
  <c r="G39" i="20"/>
  <c r="K12" i="20"/>
  <c r="O28" i="20"/>
  <c r="O50" i="20" s="1"/>
  <c r="P46" i="20"/>
  <c r="O32" i="20"/>
  <c r="P27" i="20"/>
  <c r="I27" i="20"/>
  <c r="N26" i="20"/>
  <c r="N12" i="20"/>
  <c r="N39" i="20"/>
  <c r="N43" i="20"/>
  <c r="N45" i="20"/>
  <c r="A2" i="2"/>
  <c r="A1" i="5"/>
  <c r="A1" i="6"/>
  <c r="O46" i="20" l="1"/>
  <c r="O27" i="20"/>
  <c r="N32" i="20"/>
  <c r="N33" i="20" s="1"/>
  <c r="N28" i="20"/>
  <c r="N50" i="20" s="1"/>
  <c r="N46" i="20"/>
  <c r="P64" i="20"/>
  <c r="P69" i="20" s="1"/>
  <c r="P72" i="20" s="1"/>
  <c r="P88" i="20" s="1"/>
  <c r="P80" i="20"/>
  <c r="P79" i="20"/>
  <c r="H64" i="20"/>
  <c r="H69" i="20" s="1"/>
  <c r="H72" i="20" s="1"/>
  <c r="H88" i="20" s="1"/>
  <c r="H80" i="20"/>
  <c r="H79" i="20"/>
  <c r="C11" i="6"/>
  <c r="L64" i="20"/>
  <c r="L69" i="20" s="1"/>
  <c r="L72" i="20" s="1"/>
  <c r="L88" i="20" s="1"/>
  <c r="L80" i="20"/>
  <c r="L79" i="20"/>
  <c r="M34" i="20"/>
  <c r="M60" i="20"/>
  <c r="M55" i="20"/>
  <c r="G33" i="20"/>
  <c r="F34" i="20"/>
  <c r="F60" i="20"/>
  <c r="G54" i="20"/>
  <c r="R34" i="20"/>
  <c r="R60" i="20"/>
  <c r="R55" i="20"/>
  <c r="H33" i="20"/>
  <c r="G34" i="20"/>
  <c r="G60" i="20"/>
  <c r="H54" i="20"/>
  <c r="G55" i="20"/>
  <c r="Q34" i="20"/>
  <c r="Q60" i="20"/>
  <c r="R54" i="20"/>
  <c r="Q55" i="20"/>
  <c r="R33" i="20"/>
  <c r="P33" i="20"/>
  <c r="O34" i="20"/>
  <c r="O60" i="20"/>
  <c r="P54" i="20"/>
  <c r="O55" i="20"/>
  <c r="K46" i="20"/>
  <c r="K27" i="20"/>
  <c r="J32" i="20"/>
  <c r="J33" i="20" s="1"/>
  <c r="J28" i="20"/>
  <c r="J50" i="20" s="1"/>
  <c r="I34" i="20"/>
  <c r="I60" i="20"/>
  <c r="J54" i="20"/>
  <c r="I55" i="20"/>
  <c r="M33" i="20"/>
  <c r="N27" i="20"/>
  <c r="L33" i="20"/>
  <c r="K34" i="20"/>
  <c r="K60" i="20"/>
  <c r="L54" i="20"/>
  <c r="K55" i="20"/>
  <c r="C16" i="6" l="1"/>
  <c r="K64" i="20"/>
  <c r="K69" i="20" s="1"/>
  <c r="K72" i="20" s="1"/>
  <c r="K88" i="20" s="1"/>
  <c r="K80" i="20"/>
  <c r="K79" i="20"/>
  <c r="I64" i="20"/>
  <c r="I69" i="20" s="1"/>
  <c r="I72" i="20" s="1"/>
  <c r="I88" i="20" s="1"/>
  <c r="I80" i="20"/>
  <c r="I79" i="20"/>
  <c r="O64" i="20"/>
  <c r="O69" i="20" s="1"/>
  <c r="O72" i="20" s="1"/>
  <c r="O88" i="20" s="1"/>
  <c r="O80" i="20"/>
  <c r="O79" i="20"/>
  <c r="F80" i="20"/>
  <c r="F64" i="20"/>
  <c r="F69" i="20" s="1"/>
  <c r="F72" i="20" s="1"/>
  <c r="F88" i="20" s="1"/>
  <c r="O33" i="20"/>
  <c r="N34" i="20"/>
  <c r="N60" i="20"/>
  <c r="O54" i="20"/>
  <c r="N55" i="20"/>
  <c r="Q64" i="20"/>
  <c r="Q69" i="20" s="1"/>
  <c r="Q72" i="20" s="1"/>
  <c r="Q88" i="20" s="1"/>
  <c r="Q80" i="20"/>
  <c r="Q79" i="20"/>
  <c r="G64" i="20"/>
  <c r="G69" i="20" s="1"/>
  <c r="G72" i="20" s="1"/>
  <c r="G88" i="20" s="1"/>
  <c r="G80" i="20"/>
  <c r="G79" i="20"/>
  <c r="R80" i="20"/>
  <c r="R64" i="20"/>
  <c r="R69" i="20" s="1"/>
  <c r="R72" i="20" s="1"/>
  <c r="R88" i="20" s="1"/>
  <c r="R79" i="20"/>
  <c r="N54" i="20"/>
  <c r="K33" i="20"/>
  <c r="J34" i="20"/>
  <c r="J60" i="20"/>
  <c r="K54" i="20"/>
  <c r="J55" i="20"/>
  <c r="M64" i="20"/>
  <c r="M69" i="20" s="1"/>
  <c r="M72" i="20" s="1"/>
  <c r="M88" i="20" s="1"/>
  <c r="M80" i="20"/>
  <c r="M79" i="20"/>
  <c r="N80" i="20" l="1"/>
  <c r="N64" i="20"/>
  <c r="N69" i="20" s="1"/>
  <c r="N72" i="20" s="1"/>
  <c r="N88" i="20" s="1"/>
  <c r="N79" i="20"/>
  <c r="J80" i="20"/>
  <c r="J64" i="20"/>
  <c r="J69" i="20" s="1"/>
  <c r="J72" i="20" s="1"/>
  <c r="J88" i="20" s="1"/>
  <c r="J79" i="20"/>
  <c r="A1" i="10" l="1"/>
  <c r="A1" i="9"/>
  <c r="A1" i="8"/>
  <c r="T149" i="2"/>
  <c r="T148" i="2"/>
  <c r="T147" i="2"/>
  <c r="T146" i="2"/>
  <c r="T145" i="2"/>
  <c r="T144" i="2"/>
  <c r="T143" i="2"/>
  <c r="T142" i="2"/>
  <c r="T141" i="2"/>
  <c r="T140" i="2"/>
  <c r="T139" i="2"/>
  <c r="T138" i="2"/>
  <c r="T137" i="2"/>
  <c r="T136" i="2"/>
  <c r="T135" i="2"/>
  <c r="T134" i="2"/>
  <c r="T133" i="2"/>
  <c r="T132" i="2"/>
  <c r="T131" i="2"/>
  <c r="T130" i="2"/>
  <c r="T129" i="2"/>
  <c r="T128" i="2"/>
  <c r="T127" i="2"/>
  <c r="T126" i="2"/>
  <c r="T125" i="2"/>
  <c r="T124" i="2"/>
  <c r="T123" i="2"/>
  <c r="T122" i="2"/>
  <c r="T121" i="2"/>
  <c r="T120" i="2"/>
  <c r="T119" i="2"/>
  <c r="T118" i="2"/>
  <c r="T117" i="2"/>
  <c r="T116" i="2"/>
  <c r="T115" i="2"/>
  <c r="T114" i="2"/>
  <c r="T113" i="2"/>
  <c r="T112" i="2"/>
  <c r="T111" i="2"/>
  <c r="T110" i="2"/>
  <c r="T109" i="2"/>
  <c r="T108" i="2"/>
  <c r="T107" i="2"/>
  <c r="T106" i="2"/>
  <c r="T105" i="2"/>
  <c r="T104" i="2"/>
  <c r="T103" i="2"/>
  <c r="T102" i="2"/>
  <c r="T101" i="2"/>
  <c r="T100" i="2"/>
  <c r="T99" i="2"/>
  <c r="T98" i="2"/>
  <c r="T97" i="2"/>
  <c r="T96" i="2"/>
  <c r="T95" i="2"/>
  <c r="T94" i="2"/>
  <c r="T93" i="2"/>
  <c r="T92" i="2"/>
  <c r="T91" i="2"/>
  <c r="T90" i="2"/>
  <c r="T89" i="2"/>
  <c r="T88" i="2"/>
  <c r="T87" i="2"/>
  <c r="T86" i="2"/>
  <c r="T85" i="2"/>
  <c r="T84" i="2"/>
  <c r="T83" i="2"/>
  <c r="T82" i="2"/>
  <c r="T81" i="2"/>
  <c r="T80" i="2"/>
  <c r="T79" i="2"/>
  <c r="T78" i="2"/>
  <c r="T77" i="2"/>
  <c r="T76" i="2"/>
  <c r="T75" i="2"/>
  <c r="T74" i="2"/>
  <c r="T73" i="2"/>
  <c r="T72" i="2"/>
  <c r="T71" i="2"/>
  <c r="T70" i="2"/>
  <c r="T69" i="2"/>
  <c r="T68" i="2"/>
  <c r="T67" i="2"/>
  <c r="T66" i="2"/>
  <c r="T65" i="2"/>
  <c r="T64" i="2"/>
  <c r="T63" i="2"/>
  <c r="T62" i="2"/>
  <c r="T61" i="2"/>
  <c r="T60" i="2"/>
  <c r="T59" i="2"/>
  <c r="T58" i="2"/>
  <c r="T57" i="2"/>
  <c r="T56" i="2"/>
  <c r="T55" i="2"/>
  <c r="T54" i="2"/>
  <c r="T53" i="2"/>
  <c r="T52" i="2"/>
  <c r="T51" i="2"/>
  <c r="T50" i="2"/>
  <c r="T49" i="2"/>
  <c r="T48" i="2"/>
  <c r="T47" i="2"/>
  <c r="T46" i="2"/>
  <c r="T45" i="2"/>
  <c r="T44" i="2"/>
  <c r="T43" i="2"/>
  <c r="T42" i="2"/>
  <c r="T41" i="2"/>
  <c r="T40" i="2"/>
  <c r="T39" i="2"/>
  <c r="T38" i="2"/>
  <c r="T37" i="2"/>
  <c r="T36" i="2"/>
  <c r="T35" i="2"/>
  <c r="T34" i="2"/>
  <c r="T33" i="2"/>
  <c r="T32" i="2"/>
  <c r="T31" i="2"/>
  <c r="T30" i="2"/>
  <c r="T29" i="2"/>
  <c r="T28" i="2"/>
  <c r="T27" i="2"/>
  <c r="T26" i="2"/>
  <c r="T25" i="2"/>
  <c r="T24" i="2"/>
  <c r="T23" i="2"/>
  <c r="T22" i="2"/>
  <c r="T21" i="2"/>
  <c r="T20" i="2"/>
  <c r="T19" i="2"/>
  <c r="T18" i="2"/>
  <c r="T17" i="2"/>
  <c r="T16" i="2"/>
  <c r="T15" i="2"/>
  <c r="T14" i="2"/>
  <c r="T13" i="2"/>
  <c r="T12" i="2"/>
  <c r="T11" i="2"/>
  <c r="T10" i="2"/>
  <c r="H117" i="8" l="1"/>
  <c r="H116" i="8"/>
  <c r="H115" i="8"/>
  <c r="H114" i="8"/>
  <c r="H113" i="8"/>
  <c r="H112" i="8"/>
  <c r="H111" i="8"/>
  <c r="H110" i="8"/>
  <c r="H109" i="8"/>
  <c r="H108" i="8"/>
  <c r="H107" i="8"/>
  <c r="H106" i="8"/>
  <c r="H105" i="8"/>
  <c r="H104" i="8"/>
  <c r="H103" i="8"/>
  <c r="H102" i="8"/>
  <c r="H101" i="8"/>
  <c r="H100" i="8"/>
  <c r="H98" i="8"/>
  <c r="H97" i="8"/>
  <c r="H96" i="8"/>
  <c r="H95" i="8"/>
  <c r="H94" i="8"/>
  <c r="H93" i="8"/>
  <c r="H92" i="8"/>
  <c r="H91" i="8"/>
  <c r="H90" i="8"/>
  <c r="H89" i="8"/>
  <c r="H88" i="8"/>
  <c r="H87" i="8"/>
  <c r="H86" i="8"/>
  <c r="H85" i="8"/>
  <c r="H84" i="8"/>
  <c r="H83" i="8"/>
  <c r="H82" i="8"/>
  <c r="H81" i="8"/>
  <c r="H80" i="8"/>
  <c r="H79" i="8"/>
  <c r="H74" i="8"/>
  <c r="H73" i="8"/>
  <c r="H72" i="8"/>
  <c r="H71" i="8"/>
  <c r="H70" i="8"/>
  <c r="H69" i="8"/>
  <c r="H68" i="8"/>
  <c r="H67" i="8"/>
  <c r="H66" i="8"/>
  <c r="H65" i="8"/>
  <c r="H64" i="8"/>
  <c r="H63" i="8"/>
  <c r="H62" i="8"/>
  <c r="H61" i="8"/>
  <c r="H60" i="8"/>
  <c r="H59" i="8"/>
  <c r="H58" i="8"/>
  <c r="H57" i="8"/>
  <c r="H56" i="8"/>
  <c r="H55" i="8"/>
  <c r="H54" i="8"/>
  <c r="H53" i="8"/>
  <c r="H52" i="8"/>
  <c r="H51" i="8"/>
  <c r="H50" i="8"/>
  <c r="H49" i="8"/>
  <c r="H48" i="8"/>
  <c r="H47" i="8"/>
  <c r="H46" i="8"/>
  <c r="H45" i="8"/>
  <c r="H44" i="8"/>
  <c r="H43" i="8"/>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11" i="8"/>
  <c r="H10" i="8"/>
  <c r="H9" i="8"/>
  <c r="H8" i="8"/>
  <c r="H7" i="8"/>
  <c r="H5" i="8"/>
  <c r="H1" i="8" s="1"/>
  <c r="H166" i="8"/>
  <c r="H165" i="8"/>
  <c r="H164" i="8"/>
  <c r="H163" i="8"/>
  <c r="H162" i="8"/>
  <c r="H161" i="8"/>
  <c r="H160" i="8"/>
  <c r="H159" i="8"/>
  <c r="H158" i="8"/>
  <c r="H157" i="8"/>
  <c r="H156" i="8"/>
  <c r="H155" i="8"/>
  <c r="H154" i="8"/>
  <c r="H153" i="8"/>
  <c r="H152" i="8"/>
  <c r="H151" i="8"/>
  <c r="H150" i="8"/>
  <c r="H149" i="8"/>
  <c r="H148" i="8"/>
  <c r="H147" i="8"/>
  <c r="H146" i="8"/>
  <c r="H145" i="8"/>
  <c r="H144" i="8"/>
  <c r="H143" i="8"/>
  <c r="H142" i="8"/>
  <c r="H141" i="8"/>
  <c r="H140" i="8"/>
  <c r="H139" i="8"/>
  <c r="T7" i="5"/>
  <c r="N5" i="9"/>
  <c r="N1" i="9" s="1"/>
  <c r="B15" i="9" l="1"/>
  <c r="N15" i="9" s="1"/>
  <c r="B14" i="9"/>
  <c r="N14" i="9" s="1"/>
  <c r="B11" i="9"/>
  <c r="N11" i="9" s="1"/>
  <c r="B10" i="9"/>
  <c r="N10" i="9" s="1"/>
  <c r="B9" i="9"/>
  <c r="N9" i="9" s="1"/>
  <c r="F52" i="9"/>
  <c r="F30" i="4"/>
  <c r="B99" i="8"/>
  <c r="H99" i="8" s="1"/>
  <c r="E157" i="9"/>
  <c r="E147" i="9"/>
  <c r="E150" i="9"/>
  <c r="E153" i="9"/>
  <c r="B13" i="9"/>
  <c r="N13" i="9" s="1"/>
  <c r="D21" i="8"/>
  <c r="C129" i="9" s="1"/>
  <c r="G129" i="9" s="1"/>
  <c r="Q1" i="10" l="1"/>
  <c r="R1" i="10"/>
  <c r="E41" i="9"/>
  <c r="B100" i="9"/>
  <c r="N100" i="9" s="1"/>
  <c r="D101" i="9"/>
  <c r="B126" i="9" s="1"/>
  <c r="N126" i="9" s="1"/>
  <c r="B95" i="9"/>
  <c r="N95" i="9" s="1"/>
  <c r="D96" i="9"/>
  <c r="D106" i="9"/>
  <c r="B110" i="9"/>
  <c r="N110" i="9" s="1"/>
  <c r="D111" i="9"/>
  <c r="B129" i="9" s="1"/>
  <c r="N129" i="9" s="1"/>
  <c r="B116" i="9"/>
  <c r="N116" i="9" s="1"/>
  <c r="B117" i="9"/>
  <c r="N117" i="9" s="1"/>
  <c r="B118" i="9"/>
  <c r="N118" i="9" s="1"/>
  <c r="B119" i="9"/>
  <c r="N119" i="9" s="1"/>
  <c r="C167" i="9"/>
  <c r="D167" i="9" s="1"/>
  <c r="E167" i="9" s="1"/>
  <c r="F167" i="9" s="1"/>
  <c r="G167" i="9" s="1"/>
  <c r="H167" i="9" s="1"/>
  <c r="I167" i="9" s="1"/>
  <c r="J167" i="9" s="1"/>
  <c r="K167" i="9" s="1"/>
  <c r="L167" i="9" s="1"/>
  <c r="D9" i="8"/>
  <c r="D12" i="8"/>
  <c r="D49" i="8" s="1"/>
  <c r="D13" i="8"/>
  <c r="D50" i="8" s="1"/>
  <c r="D14" i="8"/>
  <c r="D51" i="8" s="1"/>
  <c r="D15" i="8"/>
  <c r="D52" i="8" s="1"/>
  <c r="D18" i="8"/>
  <c r="D19" i="8"/>
  <c r="D20" i="8"/>
  <c r="D24" i="8"/>
  <c r="D25" i="8"/>
  <c r="D28" i="8"/>
  <c r="C104" i="8" s="1"/>
  <c r="D29" i="8"/>
  <c r="C105" i="8" s="1"/>
  <c r="D30" i="8"/>
  <c r="F83" i="8" s="1"/>
  <c r="D33" i="8"/>
  <c r="C10" i="10" s="1"/>
  <c r="D34" i="8"/>
  <c r="B25" i="21" s="1"/>
  <c r="Q25" i="21" s="1"/>
  <c r="E37" i="8"/>
  <c r="F37" i="8" s="1"/>
  <c r="B75" i="8"/>
  <c r="H75" i="8" s="1"/>
  <c r="B76" i="8"/>
  <c r="B77" i="8"/>
  <c r="B78" i="8"/>
  <c r="F116" i="8"/>
  <c r="B163" i="9" l="1"/>
  <c r="N163" i="9" s="1"/>
  <c r="H77" i="8"/>
  <c r="B162" i="9"/>
  <c r="N162" i="9" s="1"/>
  <c r="H76" i="8"/>
  <c r="H6" i="8" s="1"/>
  <c r="I1" i="8" s="1"/>
  <c r="B164" i="9"/>
  <c r="N164" i="9" s="1"/>
  <c r="H78" i="8"/>
  <c r="C117" i="9"/>
  <c r="C116" i="9"/>
  <c r="C119" i="9"/>
  <c r="B135" i="9"/>
  <c r="N135" i="9" s="1"/>
  <c r="F162" i="9"/>
  <c r="C118" i="9"/>
  <c r="B132" i="9"/>
  <c r="N132" i="9" s="1"/>
  <c r="F76" i="8"/>
  <c r="C127" i="9"/>
  <c r="G127" i="9" s="1"/>
  <c r="F75" i="8"/>
  <c r="C126" i="9"/>
  <c r="G126" i="9" s="1"/>
  <c r="F77" i="8"/>
  <c r="C128" i="9"/>
  <c r="G128" i="9" s="1"/>
  <c r="C107" i="8"/>
  <c r="C106" i="8"/>
  <c r="E79" i="9"/>
  <c r="L79" i="9" s="1"/>
  <c r="L82" i="9" s="1"/>
  <c r="E69" i="9"/>
  <c r="B128" i="9"/>
  <c r="N128" i="9" s="1"/>
  <c r="F115" i="8"/>
  <c r="F93" i="8"/>
  <c r="E162" i="9"/>
  <c r="B161" i="9"/>
  <c r="N161" i="9" s="1"/>
  <c r="E163" i="9"/>
  <c r="D53" i="8"/>
  <c r="B127" i="9"/>
  <c r="N127" i="9" s="1"/>
  <c r="F85" i="8"/>
  <c r="T5" i="5"/>
  <c r="B31" i="5"/>
  <c r="B30" i="5"/>
  <c r="B29" i="5"/>
  <c r="B28" i="5"/>
  <c r="T5" i="4"/>
  <c r="T6" i="2"/>
  <c r="R80" i="4"/>
  <c r="Q80" i="4"/>
  <c r="P80" i="4"/>
  <c r="O80" i="4"/>
  <c r="N80" i="4"/>
  <c r="M80" i="4"/>
  <c r="L80" i="4"/>
  <c r="K80" i="4"/>
  <c r="J80" i="4"/>
  <c r="I80" i="4"/>
  <c r="H80" i="4"/>
  <c r="G80" i="4"/>
  <c r="F80" i="4"/>
  <c r="R81" i="4"/>
  <c r="Q81" i="4"/>
  <c r="P81" i="4"/>
  <c r="O81" i="4"/>
  <c r="N81" i="4"/>
  <c r="M81" i="4"/>
  <c r="L81" i="4"/>
  <c r="K81" i="4"/>
  <c r="J81" i="4"/>
  <c r="I81" i="4"/>
  <c r="H81" i="4"/>
  <c r="G81" i="4"/>
  <c r="F81" i="4"/>
  <c r="T80" i="4"/>
  <c r="K75" i="4"/>
  <c r="G75" i="4"/>
  <c r="J106" i="2"/>
  <c r="J78" i="4" s="1"/>
  <c r="I106" i="2"/>
  <c r="I78" i="4" s="1"/>
  <c r="H106" i="2"/>
  <c r="G106" i="2"/>
  <c r="G78" i="4" s="1"/>
  <c r="R107" i="2"/>
  <c r="R82" i="4" s="1"/>
  <c r="Q107" i="2"/>
  <c r="Q82" i="4" s="1"/>
  <c r="P107" i="2"/>
  <c r="P82" i="4" s="1"/>
  <c r="O107" i="2"/>
  <c r="O82" i="4" s="1"/>
  <c r="N107" i="2"/>
  <c r="N82" i="4" s="1"/>
  <c r="M107" i="2"/>
  <c r="M82" i="4" s="1"/>
  <c r="L107" i="2"/>
  <c r="L82" i="4" s="1"/>
  <c r="K107" i="2"/>
  <c r="K82" i="4" s="1"/>
  <c r="J107" i="2"/>
  <c r="J82" i="4" s="1"/>
  <c r="I107" i="2"/>
  <c r="I82" i="4" s="1"/>
  <c r="H107" i="2"/>
  <c r="H82" i="4" s="1"/>
  <c r="G107" i="2"/>
  <c r="G82" i="4" s="1"/>
  <c r="F107" i="2"/>
  <c r="F82" i="4" s="1"/>
  <c r="F106" i="2"/>
  <c r="F78" i="4" s="1"/>
  <c r="R108" i="2"/>
  <c r="R75" i="4" s="1"/>
  <c r="Q108" i="2"/>
  <c r="Q75" i="4" s="1"/>
  <c r="P108" i="2"/>
  <c r="P75" i="4" s="1"/>
  <c r="O108" i="2"/>
  <c r="O75" i="4" s="1"/>
  <c r="N108" i="2"/>
  <c r="N75" i="4" s="1"/>
  <c r="M108" i="2"/>
  <c r="M75" i="4" s="1"/>
  <c r="L108" i="2"/>
  <c r="L75" i="4" s="1"/>
  <c r="K108" i="2"/>
  <c r="J108" i="2"/>
  <c r="J75" i="4" s="1"/>
  <c r="I108" i="2"/>
  <c r="I75" i="4" s="1"/>
  <c r="H108" i="2"/>
  <c r="H75" i="4" s="1"/>
  <c r="G108" i="2"/>
  <c r="F108" i="2"/>
  <c r="F75" i="4" s="1"/>
  <c r="J79" i="2"/>
  <c r="I79" i="2"/>
  <c r="H79" i="2"/>
  <c r="G79" i="2"/>
  <c r="F79" i="2"/>
  <c r="E164" i="9" l="1"/>
  <c r="B36" i="21"/>
  <c r="Q36" i="21" s="1"/>
  <c r="B38" i="21"/>
  <c r="Q38" i="21" s="1"/>
  <c r="B34" i="21"/>
  <c r="Q34" i="21" s="1"/>
  <c r="G28" i="21"/>
  <c r="B8" i="21"/>
  <c r="Q8" i="21" s="1"/>
  <c r="F164" i="9"/>
  <c r="F163" i="9"/>
  <c r="C135" i="9"/>
  <c r="C132" i="9"/>
  <c r="C9" i="10"/>
  <c r="C11" i="10"/>
  <c r="C108" i="8"/>
  <c r="B134" i="9"/>
  <c r="N134" i="9" s="1"/>
  <c r="K79" i="9"/>
  <c r="K82" i="9" s="1"/>
  <c r="L69" i="9"/>
  <c r="H69" i="9"/>
  <c r="K69" i="9"/>
  <c r="G69" i="9"/>
  <c r="J69" i="9"/>
  <c r="I69" i="9"/>
  <c r="F94" i="8"/>
  <c r="G27" i="21" s="1"/>
  <c r="E161" i="9"/>
  <c r="F161" i="9"/>
  <c r="B133" i="9"/>
  <c r="N133" i="9" s="1"/>
  <c r="H78" i="4"/>
  <c r="B157" i="9" l="1"/>
  <c r="N157" i="9" s="1"/>
  <c r="C133" i="9"/>
  <c r="C134" i="9"/>
  <c r="B150" i="9"/>
  <c r="N150" i="9" s="1"/>
  <c r="B153" i="9"/>
  <c r="N153" i="9" s="1"/>
  <c r="B147" i="9"/>
  <c r="N147" i="9" s="1"/>
  <c r="H126" i="9"/>
  <c r="H128" i="9"/>
  <c r="J95" i="2"/>
  <c r="H95" i="2"/>
  <c r="G95" i="2"/>
  <c r="F95" i="2"/>
  <c r="I95" i="2"/>
  <c r="J91" i="3"/>
  <c r="I91" i="3"/>
  <c r="H91" i="3"/>
  <c r="G91" i="3"/>
  <c r="F91" i="3"/>
  <c r="K126" i="2"/>
  <c r="L126" i="2" s="1"/>
  <c r="M126" i="2" s="1"/>
  <c r="N126" i="2" s="1"/>
  <c r="O126" i="2" s="1"/>
  <c r="P126" i="2" s="1"/>
  <c r="Q126" i="2" s="1"/>
  <c r="R126" i="2" s="1"/>
  <c r="K125" i="2"/>
  <c r="L125" i="2" s="1"/>
  <c r="M125" i="2" s="1"/>
  <c r="N125" i="2" s="1"/>
  <c r="O125" i="2" s="1"/>
  <c r="P125" i="2" s="1"/>
  <c r="Q125" i="2" s="1"/>
  <c r="R125" i="2" s="1"/>
  <c r="K124" i="2"/>
  <c r="L124" i="2" s="1"/>
  <c r="M124" i="2" s="1"/>
  <c r="N124" i="2" s="1"/>
  <c r="O124" i="2" s="1"/>
  <c r="P124" i="2" s="1"/>
  <c r="Q124" i="2" s="1"/>
  <c r="R124" i="2" s="1"/>
  <c r="K138" i="2"/>
  <c r="L138" i="2" s="1"/>
  <c r="M138" i="2" s="1"/>
  <c r="N138" i="2" s="1"/>
  <c r="O138" i="2" s="1"/>
  <c r="P138" i="2" s="1"/>
  <c r="Q138" i="2" s="1"/>
  <c r="R138" i="2" s="1"/>
  <c r="K137" i="2"/>
  <c r="L137" i="2" s="1"/>
  <c r="M137" i="2" s="1"/>
  <c r="N137" i="2" s="1"/>
  <c r="O137" i="2" s="1"/>
  <c r="P137" i="2" s="1"/>
  <c r="Q137" i="2" s="1"/>
  <c r="R137" i="2" s="1"/>
  <c r="J58" i="3"/>
  <c r="I58" i="3"/>
  <c r="H58" i="3"/>
  <c r="G58" i="3"/>
  <c r="F58" i="3"/>
  <c r="J57" i="3"/>
  <c r="I57" i="3"/>
  <c r="H57" i="3"/>
  <c r="G57" i="3"/>
  <c r="F57" i="3"/>
  <c r="J56" i="3"/>
  <c r="I56" i="3"/>
  <c r="H56" i="3"/>
  <c r="G56" i="3"/>
  <c r="F56" i="3"/>
  <c r="J51" i="3"/>
  <c r="I51" i="3"/>
  <c r="H51" i="3"/>
  <c r="G51" i="3"/>
  <c r="F51" i="3"/>
  <c r="J50" i="3"/>
  <c r="I50" i="3"/>
  <c r="H50" i="3"/>
  <c r="G50" i="3"/>
  <c r="F50" i="3"/>
  <c r="J49" i="3"/>
  <c r="I49" i="3"/>
  <c r="H49" i="3"/>
  <c r="G49" i="3"/>
  <c r="F49" i="3"/>
  <c r="J38" i="3"/>
  <c r="I38" i="3"/>
  <c r="H38" i="3"/>
  <c r="G38" i="3"/>
  <c r="F38" i="3"/>
  <c r="J33" i="3"/>
  <c r="I33" i="3"/>
  <c r="H33" i="3"/>
  <c r="G33" i="3"/>
  <c r="F33" i="3"/>
  <c r="J28" i="3"/>
  <c r="I28" i="3"/>
  <c r="H28" i="3"/>
  <c r="G28" i="3"/>
  <c r="F28" i="3"/>
  <c r="J31" i="2"/>
  <c r="I31" i="2"/>
  <c r="H31" i="2"/>
  <c r="G31" i="2"/>
  <c r="F31" i="2"/>
  <c r="N6" i="9" l="1"/>
  <c r="O1" i="9" s="1"/>
  <c r="I128" i="9"/>
  <c r="I126" i="9"/>
  <c r="H127" i="9"/>
  <c r="I127" i="9" l="1"/>
  <c r="J126" i="9"/>
  <c r="K126" i="9" s="1"/>
  <c r="J128" i="9"/>
  <c r="K128" i="9" s="1"/>
  <c r="L128" i="9" l="1"/>
  <c r="L126" i="9"/>
  <c r="J127" i="9"/>
  <c r="K127" i="9" s="1"/>
  <c r="L127" i="9" l="1"/>
  <c r="J28" i="2" l="1"/>
  <c r="I28" i="2"/>
  <c r="H28" i="2"/>
  <c r="G28" i="2"/>
  <c r="F28" i="2"/>
  <c r="J27" i="2"/>
  <c r="I27" i="2"/>
  <c r="H27" i="2"/>
  <c r="G27" i="2"/>
  <c r="F27" i="2"/>
  <c r="J26" i="2"/>
  <c r="I26" i="2"/>
  <c r="H26" i="2"/>
  <c r="G26" i="2"/>
  <c r="F26" i="2"/>
  <c r="J25" i="2"/>
  <c r="I25" i="2"/>
  <c r="H25" i="2"/>
  <c r="G25" i="2"/>
  <c r="F25" i="2"/>
  <c r="G23" i="2"/>
  <c r="F23" i="2"/>
  <c r="H23" i="2"/>
  <c r="I23" i="2"/>
  <c r="J23" i="2"/>
  <c r="G17" i="2"/>
  <c r="F17" i="2"/>
  <c r="J17" i="2"/>
  <c r="I17" i="2"/>
  <c r="H17" i="2"/>
  <c r="G12" i="2"/>
  <c r="F12" i="2"/>
  <c r="J12" i="2"/>
  <c r="I12" i="2"/>
  <c r="H12" i="2"/>
  <c r="J33" i="2"/>
  <c r="I33" i="2"/>
  <c r="H33" i="2"/>
  <c r="G33" i="2"/>
  <c r="F33" i="2"/>
  <c r="J71" i="2"/>
  <c r="I71" i="2"/>
  <c r="H71" i="2"/>
  <c r="G71" i="2"/>
  <c r="F71" i="2"/>
  <c r="J133" i="2"/>
  <c r="J140" i="2" s="1"/>
  <c r="I133" i="2"/>
  <c r="I140" i="2" s="1"/>
  <c r="H133" i="2"/>
  <c r="H140" i="2" s="1"/>
  <c r="G133" i="2"/>
  <c r="G140" i="2" s="1"/>
  <c r="F133" i="2"/>
  <c r="F140" i="2" s="1"/>
  <c r="J128" i="2"/>
  <c r="I128" i="2"/>
  <c r="H128" i="2"/>
  <c r="G128" i="2"/>
  <c r="F128" i="2"/>
  <c r="I63" i="3" l="1"/>
  <c r="H64" i="3"/>
  <c r="G65" i="3"/>
  <c r="F63" i="3"/>
  <c r="J63" i="3"/>
  <c r="I64" i="3"/>
  <c r="H65" i="3"/>
  <c r="G63" i="3"/>
  <c r="F64" i="3"/>
  <c r="J64" i="3"/>
  <c r="I65" i="3"/>
  <c r="H63" i="3"/>
  <c r="G64" i="3"/>
  <c r="F65" i="3"/>
  <c r="J65" i="3"/>
  <c r="I29" i="2"/>
  <c r="F29" i="2"/>
  <c r="J29" i="2"/>
  <c r="G29" i="2"/>
  <c r="H29" i="2"/>
  <c r="C21" i="6" l="1"/>
  <c r="C22" i="6"/>
  <c r="C23" i="6"/>
  <c r="C24" i="6"/>
  <c r="C25" i="6"/>
  <c r="T1" i="5"/>
  <c r="Q10" i="5"/>
  <c r="C20" i="5"/>
  <c r="T1" i="4"/>
  <c r="C7" i="4"/>
  <c r="C49" i="4" s="1"/>
  <c r="D7" i="4"/>
  <c r="D49" i="4" s="1"/>
  <c r="T8" i="4"/>
  <c r="T9" i="4"/>
  <c r="T10" i="4"/>
  <c r="T11" i="4"/>
  <c r="T12" i="4"/>
  <c r="T13" i="4"/>
  <c r="T14" i="4"/>
  <c r="T15" i="4"/>
  <c r="T16" i="4"/>
  <c r="T17" i="4"/>
  <c r="T18" i="4"/>
  <c r="B19" i="4"/>
  <c r="T19" i="4" s="1"/>
  <c r="B20" i="4"/>
  <c r="T20" i="4" s="1"/>
  <c r="B21" i="4"/>
  <c r="T21" i="4" s="1"/>
  <c r="B22" i="4"/>
  <c r="T22" i="4" s="1"/>
  <c r="T23" i="4"/>
  <c r="T24" i="4"/>
  <c r="G25" i="4"/>
  <c r="G9" i="4" s="1"/>
  <c r="F12" i="4" s="1"/>
  <c r="H25" i="4"/>
  <c r="I25" i="4"/>
  <c r="J25" i="4"/>
  <c r="K25" i="4"/>
  <c r="K30" i="4" s="1"/>
  <c r="T25" i="4"/>
  <c r="H26" i="4"/>
  <c r="H10" i="4" s="1"/>
  <c r="I26" i="4"/>
  <c r="I92" i="4" s="1"/>
  <c r="J26" i="4"/>
  <c r="J10" i="4" s="1"/>
  <c r="T26" i="4"/>
  <c r="G27" i="4"/>
  <c r="G11" i="4" s="1"/>
  <c r="G93" i="4" s="1"/>
  <c r="H27" i="4"/>
  <c r="H11" i="4" s="1"/>
  <c r="H93" i="4" s="1"/>
  <c r="I27" i="4"/>
  <c r="I11" i="4" s="1"/>
  <c r="I93" i="4" s="1"/>
  <c r="J27" i="4"/>
  <c r="J11" i="4" s="1"/>
  <c r="J93" i="4" s="1"/>
  <c r="T27" i="4"/>
  <c r="T28" i="4"/>
  <c r="T29" i="4"/>
  <c r="T30" i="4"/>
  <c r="T31" i="4"/>
  <c r="T32" i="4"/>
  <c r="T33" i="4"/>
  <c r="K34" i="4"/>
  <c r="T34" i="4"/>
  <c r="T35" i="4"/>
  <c r="T36" i="4"/>
  <c r="T37" i="4"/>
  <c r="T38" i="4"/>
  <c r="T39" i="4"/>
  <c r="T40" i="4"/>
  <c r="K41" i="4"/>
  <c r="T41" i="4"/>
  <c r="K42"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C71" i="4"/>
  <c r="T71" i="4"/>
  <c r="T72" i="4"/>
  <c r="T73" i="4"/>
  <c r="T74" i="4"/>
  <c r="T75" i="4"/>
  <c r="F76" i="4"/>
  <c r="G76" i="4"/>
  <c r="H76" i="4"/>
  <c r="I76" i="4"/>
  <c r="J76" i="4"/>
  <c r="T76" i="4"/>
  <c r="F77" i="4"/>
  <c r="G77" i="4"/>
  <c r="H77" i="4"/>
  <c r="I77" i="4"/>
  <c r="J77" i="4"/>
  <c r="T77" i="4"/>
  <c r="T78" i="4"/>
  <c r="T79" i="4"/>
  <c r="T81" i="4"/>
  <c r="T82" i="4"/>
  <c r="F83" i="4"/>
  <c r="K83" i="4"/>
  <c r="L83" i="4"/>
  <c r="M83" i="4"/>
  <c r="N83" i="4"/>
  <c r="O83" i="4"/>
  <c r="P83" i="4"/>
  <c r="Q83" i="4"/>
  <c r="R83" i="4"/>
  <c r="T83" i="4"/>
  <c r="T84" i="4"/>
  <c r="T85" i="4"/>
  <c r="F86" i="4"/>
  <c r="F88" i="4" s="1"/>
  <c r="T86" i="4"/>
  <c r="T87" i="4"/>
  <c r="T88" i="4"/>
  <c r="T89" i="4"/>
  <c r="T90" i="4"/>
  <c r="F91" i="4"/>
  <c r="G91" i="4"/>
  <c r="H91" i="4"/>
  <c r="I91" i="4"/>
  <c r="J91" i="4"/>
  <c r="T91" i="4"/>
  <c r="F92" i="4"/>
  <c r="K92" i="4"/>
  <c r="T92" i="4"/>
  <c r="F93" i="4"/>
  <c r="T93" i="4"/>
  <c r="T94" i="4"/>
  <c r="T95" i="4"/>
  <c r="T96" i="4"/>
  <c r="T97" i="4"/>
  <c r="F98" i="4"/>
  <c r="G98" i="4"/>
  <c r="H98" i="4"/>
  <c r="I98" i="4"/>
  <c r="J98" i="4"/>
  <c r="T98" i="4"/>
  <c r="T99" i="4"/>
  <c r="T100" i="4"/>
  <c r="F101" i="4"/>
  <c r="F48" i="2" s="1"/>
  <c r="G101" i="4"/>
  <c r="G48" i="2" s="1"/>
  <c r="H101" i="4"/>
  <c r="H114" i="4" s="1"/>
  <c r="I101" i="4"/>
  <c r="I48" i="2" s="1"/>
  <c r="J101" i="4"/>
  <c r="J114" i="4" s="1"/>
  <c r="T101" i="4"/>
  <c r="T102" i="4"/>
  <c r="T103" i="4"/>
  <c r="T104" i="4"/>
  <c r="D105" i="4"/>
  <c r="T105" i="4"/>
  <c r="T106" i="4"/>
  <c r="G107" i="4"/>
  <c r="H107" i="4"/>
  <c r="I107" i="4"/>
  <c r="J107" i="4"/>
  <c r="T107" i="4"/>
  <c r="T108" i="4"/>
  <c r="T109" i="4"/>
  <c r="F110" i="4"/>
  <c r="G106" i="4" s="1"/>
  <c r="G110" i="4"/>
  <c r="H110" i="4"/>
  <c r="I106" i="4" s="1"/>
  <c r="I110" i="4"/>
  <c r="J106" i="4" s="1"/>
  <c r="J110" i="4"/>
  <c r="T110" i="4"/>
  <c r="T111" i="4"/>
  <c r="T112" i="4"/>
  <c r="T113" i="4"/>
  <c r="T114" i="4"/>
  <c r="T115" i="4"/>
  <c r="F116" i="4"/>
  <c r="G112" i="4" s="1"/>
  <c r="G116" i="4"/>
  <c r="H116" i="4"/>
  <c r="I116" i="4"/>
  <c r="J112" i="4" s="1"/>
  <c r="J116" i="4"/>
  <c r="K112" i="4" s="1"/>
  <c r="T116" i="4"/>
  <c r="T1" i="3"/>
  <c r="E11" i="3"/>
  <c r="E18" i="3" s="1"/>
  <c r="C21" i="5" s="1"/>
  <c r="E12" i="3"/>
  <c r="E20" i="3"/>
  <c r="E24" i="3" s="1"/>
  <c r="E21" i="3"/>
  <c r="G29" i="3"/>
  <c r="H29" i="3"/>
  <c r="I29" i="3"/>
  <c r="J29" i="3"/>
  <c r="G34" i="3"/>
  <c r="H34" i="3"/>
  <c r="I34" i="3"/>
  <c r="J34" i="3"/>
  <c r="G39" i="3"/>
  <c r="H39" i="3"/>
  <c r="I39" i="3"/>
  <c r="J39" i="3"/>
  <c r="F43" i="3"/>
  <c r="G43" i="3"/>
  <c r="H43" i="3"/>
  <c r="I43" i="3"/>
  <c r="J43" i="3"/>
  <c r="J73" i="3" s="1"/>
  <c r="F74" i="3"/>
  <c r="I74" i="3"/>
  <c r="F88" i="3"/>
  <c r="I88" i="3"/>
  <c r="I84" i="3" s="1"/>
  <c r="J88" i="3"/>
  <c r="F89" i="3"/>
  <c r="F87" i="3" s="1"/>
  <c r="G89" i="3"/>
  <c r="H89" i="3"/>
  <c r="I89" i="3"/>
  <c r="I82" i="3" s="1"/>
  <c r="J89" i="3"/>
  <c r="B97" i="3"/>
  <c r="T6" i="3" s="1"/>
  <c r="F97" i="3"/>
  <c r="G97" i="3"/>
  <c r="H97" i="3"/>
  <c r="I97" i="3"/>
  <c r="J97" i="3"/>
  <c r="B98" i="3"/>
  <c r="F98" i="3"/>
  <c r="G98" i="3"/>
  <c r="H98" i="3"/>
  <c r="I98" i="3"/>
  <c r="J98" i="3"/>
  <c r="K98" i="3" s="1"/>
  <c r="K129" i="3"/>
  <c r="L129" i="3"/>
  <c r="L130" i="3"/>
  <c r="U2" i="2"/>
  <c r="K7" i="2"/>
  <c r="T9" i="2"/>
  <c r="T7" i="2" s="1"/>
  <c r="G52" i="3"/>
  <c r="K52" i="2"/>
  <c r="G88" i="3"/>
  <c r="G32" i="2"/>
  <c r="I94" i="3"/>
  <c r="G26" i="4"/>
  <c r="K111" i="2"/>
  <c r="K116" i="2"/>
  <c r="L116" i="2" s="1"/>
  <c r="M116" i="2" s="1"/>
  <c r="N116" i="2" s="1"/>
  <c r="O116" i="2" s="1"/>
  <c r="P116" i="2" s="1"/>
  <c r="Q116" i="2" s="1"/>
  <c r="R116" i="2" s="1"/>
  <c r="K143" i="2"/>
  <c r="L143" i="2" s="1"/>
  <c r="M143" i="2" s="1"/>
  <c r="N143" i="2" s="1"/>
  <c r="O143" i="2" s="1"/>
  <c r="P143" i="2" s="1"/>
  <c r="Q143" i="2" s="1"/>
  <c r="R143" i="2" s="1"/>
  <c r="F145" i="2"/>
  <c r="G145" i="2"/>
  <c r="H145" i="2"/>
  <c r="I145" i="2"/>
  <c r="J145" i="2"/>
  <c r="H48" i="2" l="1"/>
  <c r="F90" i="8"/>
  <c r="F92" i="8" s="1"/>
  <c r="H92" i="4"/>
  <c r="J48" i="2"/>
  <c r="K28" i="4"/>
  <c r="G114" i="4"/>
  <c r="I83" i="4"/>
  <c r="F28" i="4"/>
  <c r="J92" i="4"/>
  <c r="K97" i="3"/>
  <c r="K131" i="3" s="1"/>
  <c r="L131" i="3" s="1"/>
  <c r="G59" i="3"/>
  <c r="G73" i="3"/>
  <c r="C105" i="4"/>
  <c r="I59" i="3"/>
  <c r="I73" i="3"/>
  <c r="F59" i="3"/>
  <c r="F73" i="3"/>
  <c r="H59" i="3"/>
  <c r="H73" i="3"/>
  <c r="J74" i="3"/>
  <c r="J59" i="3"/>
  <c r="G84" i="3"/>
  <c r="P98" i="4"/>
  <c r="L98" i="4"/>
  <c r="O98" i="4"/>
  <c r="K98" i="4"/>
  <c r="R98" i="4"/>
  <c r="N98" i="4"/>
  <c r="J82" i="3"/>
  <c r="J84" i="3"/>
  <c r="F83" i="3"/>
  <c r="F84" i="3"/>
  <c r="J40" i="3"/>
  <c r="J71" i="3"/>
  <c r="F40" i="3"/>
  <c r="F71" i="3"/>
  <c r="I40" i="3"/>
  <c r="I71" i="3"/>
  <c r="H71" i="3"/>
  <c r="G30" i="3"/>
  <c r="G71" i="3"/>
  <c r="J44" i="3"/>
  <c r="H94" i="3"/>
  <c r="E19" i="3"/>
  <c r="E23" i="3" s="1"/>
  <c r="F7" i="3" s="1"/>
  <c r="H82" i="3"/>
  <c r="F35" i="3"/>
  <c r="D71" i="4"/>
  <c r="G74" i="3"/>
  <c r="G44" i="3"/>
  <c r="J35" i="3"/>
  <c r="J30" i="3"/>
  <c r="G82" i="3"/>
  <c r="F44" i="3"/>
  <c r="G35" i="3"/>
  <c r="F30" i="3"/>
  <c r="E22" i="3"/>
  <c r="I114" i="4"/>
  <c r="J83" i="4"/>
  <c r="J28" i="4"/>
  <c r="I109" i="4"/>
  <c r="G109" i="4"/>
  <c r="L98" i="3"/>
  <c r="I147" i="2"/>
  <c r="H147" i="2"/>
  <c r="H83" i="4"/>
  <c r="J147" i="2"/>
  <c r="F147" i="2"/>
  <c r="G94" i="3"/>
  <c r="G83" i="4"/>
  <c r="G147" i="2"/>
  <c r="J94" i="3"/>
  <c r="J32" i="2"/>
  <c r="G10" i="4"/>
  <c r="G12" i="4" s="1"/>
  <c r="G28" i="4"/>
  <c r="G92" i="4"/>
  <c r="L25" i="4"/>
  <c r="F32" i="2"/>
  <c r="F94" i="3"/>
  <c r="Q98" i="4"/>
  <c r="M98" i="4"/>
  <c r="T2" i="2"/>
  <c r="F82" i="3"/>
  <c r="G87" i="3"/>
  <c r="H88" i="3"/>
  <c r="H84" i="3" s="1"/>
  <c r="H32" i="2"/>
  <c r="J30" i="4"/>
  <c r="J74" i="4"/>
  <c r="F74" i="4"/>
  <c r="I77" i="3"/>
  <c r="I52" i="3"/>
  <c r="I30" i="4"/>
  <c r="I74" i="4"/>
  <c r="H77" i="3"/>
  <c r="H52" i="3"/>
  <c r="H74" i="4"/>
  <c r="H30" i="4"/>
  <c r="G72" i="3"/>
  <c r="G76" i="3"/>
  <c r="H35" i="3"/>
  <c r="H74" i="3"/>
  <c r="H30" i="3"/>
  <c r="H44" i="3"/>
  <c r="I44" i="3"/>
  <c r="H40" i="3"/>
  <c r="I112" i="4"/>
  <c r="G74" i="4"/>
  <c r="G30" i="4"/>
  <c r="I32" i="2"/>
  <c r="J52" i="3"/>
  <c r="J77" i="3"/>
  <c r="F52" i="3"/>
  <c r="F77" i="3"/>
  <c r="G77" i="3"/>
  <c r="G75" i="3"/>
  <c r="G40" i="3"/>
  <c r="I30" i="3"/>
  <c r="H106" i="4"/>
  <c r="H109" i="4" s="1"/>
  <c r="I35" i="3"/>
  <c r="U1" i="3"/>
  <c r="J109" i="4"/>
  <c r="H112" i="4"/>
  <c r="K106" i="4"/>
  <c r="I10" i="4"/>
  <c r="I28" i="4"/>
  <c r="T6" i="4"/>
  <c r="U1" i="4" s="1"/>
  <c r="K15" i="4"/>
  <c r="H28" i="4"/>
  <c r="F8" i="2" l="1"/>
  <c r="E62" i="8"/>
  <c r="D7" i="21" s="1"/>
  <c r="F95" i="8"/>
  <c r="E63" i="8" s="1"/>
  <c r="D8" i="21" s="1"/>
  <c r="L97" i="3"/>
  <c r="H87" i="3"/>
  <c r="H90" i="3" s="1"/>
  <c r="G90" i="3"/>
  <c r="G7" i="3"/>
  <c r="F112" i="2"/>
  <c r="F53" i="2"/>
  <c r="F7" i="4"/>
  <c r="F27" i="5"/>
  <c r="H34" i="2"/>
  <c r="H35" i="2" s="1"/>
  <c r="I34" i="2"/>
  <c r="I35" i="2" s="1"/>
  <c r="F34" i="2"/>
  <c r="F35" i="2" s="1"/>
  <c r="G34" i="2"/>
  <c r="G35" i="2" s="1"/>
  <c r="J34" i="2"/>
  <c r="J35" i="2" s="1"/>
  <c r="G83" i="3"/>
  <c r="M98" i="3"/>
  <c r="I87" i="3"/>
  <c r="J72" i="3"/>
  <c r="J76" i="3"/>
  <c r="J75" i="3"/>
  <c r="G15" i="4"/>
  <c r="G59" i="4" s="1"/>
  <c r="G31" i="4"/>
  <c r="I75" i="3"/>
  <c r="I76" i="3"/>
  <c r="I72" i="3"/>
  <c r="H15" i="4"/>
  <c r="H59" i="4" s="1"/>
  <c r="H31" i="4"/>
  <c r="H75" i="3"/>
  <c r="H72" i="3"/>
  <c r="H76" i="3"/>
  <c r="I15" i="4"/>
  <c r="I59" i="4" s="1"/>
  <c r="I31" i="4"/>
  <c r="L28" i="4"/>
  <c r="L30" i="4"/>
  <c r="K74" i="4"/>
  <c r="F72" i="3"/>
  <c r="F76" i="3"/>
  <c r="F75" i="3"/>
  <c r="J15" i="4"/>
  <c r="J59" i="4" s="1"/>
  <c r="J31" i="4"/>
  <c r="H83" i="3"/>
  <c r="H9" i="4"/>
  <c r="H12" i="4" s="1"/>
  <c r="D9" i="21" l="1"/>
  <c r="F71" i="4"/>
  <c r="F96" i="8"/>
  <c r="E64" i="8"/>
  <c r="F105" i="4"/>
  <c r="G8" i="2"/>
  <c r="G7" i="4" s="1"/>
  <c r="M97" i="3"/>
  <c r="K126" i="3"/>
  <c r="H7" i="3"/>
  <c r="I83" i="3"/>
  <c r="I90" i="3"/>
  <c r="F49" i="4"/>
  <c r="I7" i="3"/>
  <c r="J87" i="3"/>
  <c r="N98" i="3"/>
  <c r="K76" i="4"/>
  <c r="K109" i="4"/>
  <c r="K110" i="4" s="1"/>
  <c r="J67" i="3"/>
  <c r="J66" i="3"/>
  <c r="J39" i="2"/>
  <c r="I9" i="4"/>
  <c r="I12" i="4" s="1"/>
  <c r="G66" i="3"/>
  <c r="G67" i="3"/>
  <c r="G39" i="2"/>
  <c r="F67" i="3"/>
  <c r="F66" i="3"/>
  <c r="F73" i="4"/>
  <c r="F79" i="4" s="1"/>
  <c r="F84" i="4" s="1"/>
  <c r="F39" i="2"/>
  <c r="H66" i="3"/>
  <c r="H67" i="3"/>
  <c r="H39" i="2"/>
  <c r="J83" i="3"/>
  <c r="I67" i="3"/>
  <c r="I66" i="3"/>
  <c r="I39" i="2"/>
  <c r="L106" i="4" l="1"/>
  <c r="G71" i="9"/>
  <c r="G27" i="5"/>
  <c r="G112" i="2"/>
  <c r="G53" i="2"/>
  <c r="H8" i="2"/>
  <c r="H112" i="2" s="1"/>
  <c r="N97" i="3"/>
  <c r="J90" i="3"/>
  <c r="G105" i="4"/>
  <c r="G71" i="4"/>
  <c r="G49" i="4"/>
  <c r="H27" i="5"/>
  <c r="J7" i="3"/>
  <c r="I8" i="2"/>
  <c r="O98" i="3"/>
  <c r="H42" i="2"/>
  <c r="H95" i="3"/>
  <c r="F95" i="3"/>
  <c r="F42" i="2"/>
  <c r="J9" i="4"/>
  <c r="J12" i="4" s="1"/>
  <c r="F89" i="4"/>
  <c r="F90" i="4"/>
  <c r="M25" i="4"/>
  <c r="I57" i="4"/>
  <c r="I53" i="4" s="1"/>
  <c r="I20" i="4" s="1"/>
  <c r="I18" i="4"/>
  <c r="H18" i="4"/>
  <c r="H57" i="4"/>
  <c r="H53" i="4" s="1"/>
  <c r="H20" i="4" s="1"/>
  <c r="G95" i="3"/>
  <c r="G42" i="2"/>
  <c r="J42" i="2"/>
  <c r="J95" i="3"/>
  <c r="L109" i="4"/>
  <c r="L110" i="4" s="1"/>
  <c r="I95" i="3"/>
  <c r="I42" i="2"/>
  <c r="G18" i="4"/>
  <c r="G57" i="4"/>
  <c r="G53" i="4" s="1"/>
  <c r="G20" i="4" s="1"/>
  <c r="M109" i="4"/>
  <c r="J18" i="4"/>
  <c r="J57" i="4"/>
  <c r="J53" i="4" s="1"/>
  <c r="J20" i="4" s="1"/>
  <c r="L76" i="4"/>
  <c r="G18" i="9"/>
  <c r="J60" i="21" s="1"/>
  <c r="M106" i="4" l="1"/>
  <c r="H71" i="9"/>
  <c r="G9" i="9"/>
  <c r="G72" i="9"/>
  <c r="H53" i="2"/>
  <c r="H7" i="4"/>
  <c r="M76" i="4"/>
  <c r="O97" i="3"/>
  <c r="H18" i="9"/>
  <c r="K60" i="21" s="1"/>
  <c r="K7" i="3"/>
  <c r="J8" i="2"/>
  <c r="H49" i="4"/>
  <c r="H105" i="4"/>
  <c r="H71" i="4"/>
  <c r="I112" i="2"/>
  <c r="I27" i="5"/>
  <c r="I53" i="2"/>
  <c r="I7" i="4"/>
  <c r="P98" i="3"/>
  <c r="F95" i="4"/>
  <c r="F49" i="2" s="1"/>
  <c r="G113" i="4"/>
  <c r="G115" i="4" s="1"/>
  <c r="G47" i="2"/>
  <c r="G55" i="2"/>
  <c r="G62" i="2" s="1"/>
  <c r="G73" i="2" s="1"/>
  <c r="I73" i="4"/>
  <c r="I79" i="4" s="1"/>
  <c r="I84" i="4" s="1"/>
  <c r="I58" i="4"/>
  <c r="G73" i="4"/>
  <c r="G79" i="4" s="1"/>
  <c r="G84" i="4" s="1"/>
  <c r="G58" i="4"/>
  <c r="M110" i="4"/>
  <c r="K9" i="4"/>
  <c r="F47" i="2"/>
  <c r="F55" i="2"/>
  <c r="F62" i="2" s="1"/>
  <c r="F73" i="2" s="1"/>
  <c r="N109" i="4"/>
  <c r="H58" i="4"/>
  <c r="H73" i="4"/>
  <c r="H79" i="4" s="1"/>
  <c r="H84" i="4" s="1"/>
  <c r="M28" i="4"/>
  <c r="M30" i="4"/>
  <c r="H113" i="4"/>
  <c r="H115" i="4" s="1"/>
  <c r="H47" i="2"/>
  <c r="H55" i="2"/>
  <c r="H62" i="2" s="1"/>
  <c r="H73" i="2" s="1"/>
  <c r="J73" i="4"/>
  <c r="J79" i="4" s="1"/>
  <c r="J84" i="4" s="1"/>
  <c r="J58" i="4"/>
  <c r="I113" i="4"/>
  <c r="I115" i="4" s="1"/>
  <c r="I55" i="2"/>
  <c r="I62" i="2" s="1"/>
  <c r="I73" i="2" s="1"/>
  <c r="I47" i="2"/>
  <c r="J113" i="4"/>
  <c r="J115" i="4" s="1"/>
  <c r="J47" i="2"/>
  <c r="J55" i="2"/>
  <c r="J62" i="2" s="1"/>
  <c r="J73" i="2" s="1"/>
  <c r="G73" i="9" l="1"/>
  <c r="J52" i="21" s="1"/>
  <c r="J51" i="21"/>
  <c r="N106" i="4"/>
  <c r="G11" i="9"/>
  <c r="I71" i="9"/>
  <c r="G10" i="9"/>
  <c r="H9" i="9"/>
  <c r="H72" i="9"/>
  <c r="K51" i="21" s="1"/>
  <c r="K106" i="2"/>
  <c r="P97" i="3"/>
  <c r="F99" i="4"/>
  <c r="J112" i="2"/>
  <c r="J27" i="5"/>
  <c r="J53" i="2"/>
  <c r="J7" i="4"/>
  <c r="I49" i="4"/>
  <c r="I71" i="4"/>
  <c r="I105" i="4"/>
  <c r="L7" i="3"/>
  <c r="K8" i="2"/>
  <c r="F81" i="2"/>
  <c r="F100" i="2"/>
  <c r="F101" i="2" s="1"/>
  <c r="G81" i="2"/>
  <c r="G100" i="2"/>
  <c r="G101" i="2" s="1"/>
  <c r="J81" i="2"/>
  <c r="J100" i="2"/>
  <c r="J101" i="2" s="1"/>
  <c r="H81" i="2"/>
  <c r="H100" i="2"/>
  <c r="H101" i="2" s="1"/>
  <c r="I81" i="2"/>
  <c r="I100" i="2"/>
  <c r="I101" i="2" s="1"/>
  <c r="Q98" i="3"/>
  <c r="H55" i="4"/>
  <c r="H22" i="4" s="1"/>
  <c r="K113" i="4"/>
  <c r="G55" i="4"/>
  <c r="G22" i="4" s="1"/>
  <c r="C8" i="6"/>
  <c r="K77" i="4"/>
  <c r="J55" i="4"/>
  <c r="J22" i="4" s="1"/>
  <c r="N110" i="4"/>
  <c r="I55" i="4"/>
  <c r="I22" i="4" s="1"/>
  <c r="J53" i="21" l="1"/>
  <c r="J17" i="21"/>
  <c r="O106" i="4"/>
  <c r="I9" i="9"/>
  <c r="I72" i="9"/>
  <c r="H10" i="9"/>
  <c r="J71" i="9"/>
  <c r="H73" i="9"/>
  <c r="K78" i="4"/>
  <c r="L106" i="2"/>
  <c r="Q97" i="3"/>
  <c r="N76" i="4"/>
  <c r="M7" i="3"/>
  <c r="L8" i="2"/>
  <c r="J49" i="4"/>
  <c r="J71" i="4"/>
  <c r="J105" i="4"/>
  <c r="K112" i="2"/>
  <c r="K53" i="2"/>
  <c r="K7" i="4"/>
  <c r="K27" i="5"/>
  <c r="R98" i="3"/>
  <c r="F103" i="2"/>
  <c r="K18" i="4"/>
  <c r="K57" i="4"/>
  <c r="O109" i="4"/>
  <c r="O110" i="4" s="1"/>
  <c r="N25" i="4"/>
  <c r="I73" i="9" l="1"/>
  <c r="L52" i="21" s="1"/>
  <c r="L51" i="21"/>
  <c r="H74" i="9"/>
  <c r="K52" i="21"/>
  <c r="I74" i="9"/>
  <c r="P106" i="4"/>
  <c r="J9" i="9"/>
  <c r="J72" i="9"/>
  <c r="M51" i="21" s="1"/>
  <c r="I18" i="9"/>
  <c r="L60" i="21" s="1"/>
  <c r="H11" i="9"/>
  <c r="I10" i="9"/>
  <c r="K71" i="9"/>
  <c r="M106" i="2"/>
  <c r="L78" i="4"/>
  <c r="G19" i="9"/>
  <c r="J61" i="21" s="1"/>
  <c r="R97" i="3"/>
  <c r="O76" i="4"/>
  <c r="J18" i="9"/>
  <c r="M60" i="21" s="1"/>
  <c r="C12" i="6"/>
  <c r="L112" i="2"/>
  <c r="L53" i="2"/>
  <c r="L27" i="5"/>
  <c r="L7" i="4"/>
  <c r="N7" i="3"/>
  <c r="M8" i="2"/>
  <c r="K105" i="4"/>
  <c r="K71" i="4"/>
  <c r="K49" i="4"/>
  <c r="N30" i="4"/>
  <c r="N28" i="4"/>
  <c r="K62" i="4"/>
  <c r="P109" i="4"/>
  <c r="P110" i="4" s="1"/>
  <c r="G86" i="4"/>
  <c r="G88" i="4" s="1"/>
  <c r="P76" i="4"/>
  <c r="K18" i="9"/>
  <c r="N60" i="21" s="1"/>
  <c r="C10" i="6"/>
  <c r="F120" i="2"/>
  <c r="F78" i="3" s="1"/>
  <c r="F79" i="3" s="1"/>
  <c r="F149" i="2"/>
  <c r="I11" i="9" l="1"/>
  <c r="K17" i="21"/>
  <c r="K53" i="21"/>
  <c r="L17" i="21"/>
  <c r="L53" i="21"/>
  <c r="Q106" i="4"/>
  <c r="M78" i="4"/>
  <c r="J10" i="9"/>
  <c r="J73" i="9"/>
  <c r="K9" i="9"/>
  <c r="K72" i="9"/>
  <c r="N51" i="21" s="1"/>
  <c r="L71" i="9"/>
  <c r="H19" i="9"/>
  <c r="K61" i="21" s="1"/>
  <c r="F94" i="9"/>
  <c r="T6" i="5"/>
  <c r="U1" i="5" s="1"/>
  <c r="N106" i="2"/>
  <c r="L18" i="4"/>
  <c r="L57" i="4"/>
  <c r="L62" i="4" s="1"/>
  <c r="M53" i="2"/>
  <c r="M7" i="4"/>
  <c r="M112" i="2"/>
  <c r="M27" i="5"/>
  <c r="L71" i="4"/>
  <c r="L49" i="4"/>
  <c r="L105" i="4"/>
  <c r="O7" i="3"/>
  <c r="N8" i="2"/>
  <c r="G81" i="9"/>
  <c r="G86" i="9" s="1"/>
  <c r="G14" i="9" s="1"/>
  <c r="R109" i="4"/>
  <c r="G90" i="4"/>
  <c r="G89" i="4"/>
  <c r="Q109" i="4"/>
  <c r="Q110" i="4" s="1"/>
  <c r="J74" i="9" l="1"/>
  <c r="M52" i="21"/>
  <c r="R106" i="4"/>
  <c r="C13" i="6"/>
  <c r="L9" i="9"/>
  <c r="L72" i="9"/>
  <c r="O51" i="21" s="1"/>
  <c r="K10" i="9"/>
  <c r="C7" i="6"/>
  <c r="F144" i="9"/>
  <c r="F65" i="9"/>
  <c r="F115" i="9"/>
  <c r="F8" i="9"/>
  <c r="J11" i="9"/>
  <c r="K73" i="9"/>
  <c r="N78" i="4"/>
  <c r="I19" i="9"/>
  <c r="L61" i="21" s="1"/>
  <c r="O106" i="2"/>
  <c r="R76" i="4"/>
  <c r="Q76" i="4"/>
  <c r="L18" i="9"/>
  <c r="O60" i="21" s="1"/>
  <c r="P7" i="3"/>
  <c r="O8" i="2"/>
  <c r="M49" i="4"/>
  <c r="M71" i="4"/>
  <c r="M105" i="4"/>
  <c r="N112" i="2"/>
  <c r="N7" i="4"/>
  <c r="N27" i="5"/>
  <c r="N53" i="2"/>
  <c r="R110" i="4"/>
  <c r="O25" i="4"/>
  <c r="G95" i="4"/>
  <c r="G16" i="4"/>
  <c r="G17" i="4" s="1"/>
  <c r="G56" i="4" s="1"/>
  <c r="G149" i="2"/>
  <c r="G120" i="2"/>
  <c r="G78" i="3" s="1"/>
  <c r="G79" i="3" s="1"/>
  <c r="H86" i="4"/>
  <c r="H88" i="4" s="1"/>
  <c r="G103" i="2"/>
  <c r="M17" i="21" l="1"/>
  <c r="M53" i="21"/>
  <c r="K74" i="9"/>
  <c r="N52" i="21"/>
  <c r="C14" i="6"/>
  <c r="L10" i="9"/>
  <c r="E72" i="9"/>
  <c r="E17" i="21" s="1"/>
  <c r="F31" i="9"/>
  <c r="F45" i="9"/>
  <c r="K11" i="9"/>
  <c r="L73" i="9"/>
  <c r="P106" i="2"/>
  <c r="K19" i="9" s="1"/>
  <c r="N61" i="21" s="1"/>
  <c r="O78" i="4"/>
  <c r="J19" i="9"/>
  <c r="M61" i="21" s="1"/>
  <c r="N71" i="4"/>
  <c r="N105" i="4"/>
  <c r="N49" i="4"/>
  <c r="O112" i="2"/>
  <c r="O27" i="5"/>
  <c r="O53" i="2"/>
  <c r="O7" i="4"/>
  <c r="Q7" i="3"/>
  <c r="P8" i="2"/>
  <c r="Q106" i="2"/>
  <c r="O28" i="4"/>
  <c r="O30" i="4"/>
  <c r="K73" i="4"/>
  <c r="K58" i="4"/>
  <c r="H103" i="2"/>
  <c r="G99" i="4"/>
  <c r="G49" i="2"/>
  <c r="H90" i="4"/>
  <c r="H89" i="4"/>
  <c r="G51" i="4"/>
  <c r="G52" i="4"/>
  <c r="G19" i="4" s="1"/>
  <c r="G54" i="4"/>
  <c r="G21" i="4" s="1"/>
  <c r="N17" i="21" l="1"/>
  <c r="N53" i="21"/>
  <c r="L74" i="9"/>
  <c r="O52" i="21"/>
  <c r="C12" i="10"/>
  <c r="P78" i="4"/>
  <c r="L58" i="4"/>
  <c r="G85" i="9"/>
  <c r="J54" i="21" s="1"/>
  <c r="L11" i="9"/>
  <c r="L19" i="9"/>
  <c r="O61" i="21" s="1"/>
  <c r="Q78" i="4"/>
  <c r="R106" i="2"/>
  <c r="L73" i="4"/>
  <c r="O105" i="4"/>
  <c r="O49" i="4"/>
  <c r="O71" i="4"/>
  <c r="Q8" i="2"/>
  <c r="R7" i="3"/>
  <c r="P7" i="4"/>
  <c r="P53" i="2"/>
  <c r="P112" i="2"/>
  <c r="P27" i="5"/>
  <c r="D12" i="6"/>
  <c r="I86" i="4"/>
  <c r="I88" i="4" s="1"/>
  <c r="H81" i="9"/>
  <c r="H86" i="9" s="1"/>
  <c r="H14" i="9" s="1"/>
  <c r="H95" i="4"/>
  <c r="H16" i="4"/>
  <c r="H17" i="4" s="1"/>
  <c r="H56" i="4" s="1"/>
  <c r="H149" i="2"/>
  <c r="H120" i="2"/>
  <c r="H78" i="3" s="1"/>
  <c r="H79" i="3" s="1"/>
  <c r="M57" i="4"/>
  <c r="M18" i="4"/>
  <c r="O17" i="21" l="1"/>
  <c r="O53" i="21"/>
  <c r="H85" i="9"/>
  <c r="K54" i="21" s="1"/>
  <c r="G13" i="9"/>
  <c r="R78" i="4"/>
  <c r="D13" i="6"/>
  <c r="D14" i="6"/>
  <c r="R8" i="2"/>
  <c r="R7" i="4" s="1"/>
  <c r="Q112" i="2"/>
  <c r="Q7" i="4"/>
  <c r="Q27" i="5"/>
  <c r="Q53" i="2"/>
  <c r="P105" i="4"/>
  <c r="P71" i="4"/>
  <c r="P49" i="4"/>
  <c r="R53" i="2"/>
  <c r="H51" i="4"/>
  <c r="H52" i="4"/>
  <c r="H19" i="4" s="1"/>
  <c r="H54" i="4"/>
  <c r="H21" i="4" s="1"/>
  <c r="I89" i="4"/>
  <c r="I90" i="4"/>
  <c r="M73" i="4"/>
  <c r="M58" i="4"/>
  <c r="P25" i="4"/>
  <c r="M62" i="4"/>
  <c r="H99" i="4"/>
  <c r="H49" i="2"/>
  <c r="K94" i="9" l="1"/>
  <c r="H13" i="9"/>
  <c r="I85" i="9"/>
  <c r="L54" i="21" s="1"/>
  <c r="R112" i="2"/>
  <c r="R27" i="5"/>
  <c r="Q71" i="4"/>
  <c r="Q105" i="4"/>
  <c r="Q49" i="4"/>
  <c r="R49" i="4"/>
  <c r="R71" i="4"/>
  <c r="R105" i="4"/>
  <c r="I95" i="4"/>
  <c r="I99" i="4" s="1"/>
  <c r="I16" i="4"/>
  <c r="I17" i="4" s="1"/>
  <c r="I56" i="4" s="1"/>
  <c r="I120" i="2"/>
  <c r="I78" i="3" s="1"/>
  <c r="I79" i="3" s="1"/>
  <c r="I149" i="2"/>
  <c r="P28" i="4"/>
  <c r="P30" i="4"/>
  <c r="I81" i="9"/>
  <c r="I86" i="9" s="1"/>
  <c r="I14" i="9" s="1"/>
  <c r="J86" i="4"/>
  <c r="J88" i="4" s="1"/>
  <c r="I103" i="2"/>
  <c r="N18" i="4"/>
  <c r="N57" i="4"/>
  <c r="K65" i="9" l="1"/>
  <c r="K144" i="9"/>
  <c r="K8" i="9"/>
  <c r="K125" i="9"/>
  <c r="K115" i="9"/>
  <c r="I13" i="9"/>
  <c r="L94" i="9"/>
  <c r="D11" i="6"/>
  <c r="I49" i="2"/>
  <c r="N62" i="4"/>
  <c r="J103" i="2"/>
  <c r="N73" i="4"/>
  <c r="N58" i="4"/>
  <c r="J89" i="4"/>
  <c r="J90" i="4"/>
  <c r="I51" i="4"/>
  <c r="I52" i="4"/>
  <c r="I19" i="4" s="1"/>
  <c r="I54" i="4"/>
  <c r="I21" i="4" s="1"/>
  <c r="L65" i="9" l="1"/>
  <c r="L144" i="9"/>
  <c r="L125" i="9"/>
  <c r="L115" i="9"/>
  <c r="L8" i="9"/>
  <c r="K31" i="9"/>
  <c r="K42" i="9" s="1"/>
  <c r="K45" i="9"/>
  <c r="J85" i="9"/>
  <c r="M54" i="21" s="1"/>
  <c r="K86" i="4"/>
  <c r="K88" i="4" s="1"/>
  <c r="J81" i="9"/>
  <c r="J86" i="9" s="1"/>
  <c r="J14" i="9" s="1"/>
  <c r="Q25" i="4"/>
  <c r="J16" i="4"/>
  <c r="J17" i="4" s="1"/>
  <c r="J56" i="4" s="1"/>
  <c r="J120" i="2"/>
  <c r="J78" i="3" s="1"/>
  <c r="J79" i="3" s="1"/>
  <c r="J149" i="2"/>
  <c r="J95" i="4"/>
  <c r="O18" i="4"/>
  <c r="O57" i="4"/>
  <c r="J13" i="9" l="1"/>
  <c r="L31" i="9"/>
  <c r="L42" i="9" s="1"/>
  <c r="L45" i="9"/>
  <c r="O62" i="4"/>
  <c r="Q28" i="4"/>
  <c r="Q30" i="4"/>
  <c r="J52" i="4"/>
  <c r="J19" i="4" s="1"/>
  <c r="J51" i="4"/>
  <c r="J54" i="4"/>
  <c r="J21" i="4" s="1"/>
  <c r="O73" i="4"/>
  <c r="O58" i="4"/>
  <c r="J99" i="4"/>
  <c r="J49" i="2"/>
  <c r="K85" i="9" l="1"/>
  <c r="N54" i="21" s="1"/>
  <c r="P18" i="4"/>
  <c r="P57" i="4"/>
  <c r="K81" i="9"/>
  <c r="K83" i="9" l="1"/>
  <c r="K88" i="9" s="1"/>
  <c r="N56" i="21" s="1"/>
  <c r="K86" i="9"/>
  <c r="K13" i="9"/>
  <c r="R25" i="4"/>
  <c r="P58" i="4"/>
  <c r="P73" i="4"/>
  <c r="P62" i="4"/>
  <c r="N19" i="21" l="1"/>
  <c r="N57" i="21"/>
  <c r="K14" i="9"/>
  <c r="K87" i="9"/>
  <c r="K15" i="9" s="1"/>
  <c r="R30" i="4"/>
  <c r="R28" i="4"/>
  <c r="K16" i="9" l="1"/>
  <c r="K41" i="9" s="1"/>
  <c r="K34" i="9" s="1"/>
  <c r="L85" i="9"/>
  <c r="O54" i="21" s="1"/>
  <c r="K89" i="9"/>
  <c r="N55" i="21" s="1"/>
  <c r="N18" i="21" s="1"/>
  <c r="Q18" i="4"/>
  <c r="Q57" i="4"/>
  <c r="L81" i="9"/>
  <c r="K36" i="9" l="1"/>
  <c r="N25" i="21"/>
  <c r="N85" i="21"/>
  <c r="K33" i="9"/>
  <c r="L13" i="9"/>
  <c r="L83" i="9"/>
  <c r="L88" i="9" s="1"/>
  <c r="O56" i="21" s="1"/>
  <c r="L86" i="9"/>
  <c r="L14" i="9" s="1"/>
  <c r="Q73" i="4"/>
  <c r="Q58" i="4"/>
  <c r="Q62" i="4"/>
  <c r="N28" i="21" l="1"/>
  <c r="N88" i="21"/>
  <c r="O19" i="21"/>
  <c r="O57" i="21"/>
  <c r="N26" i="21"/>
  <c r="N86" i="21"/>
  <c r="C15" i="6"/>
  <c r="L87" i="9"/>
  <c r="R18" i="4"/>
  <c r="R57" i="4"/>
  <c r="D16" i="6"/>
  <c r="L89" i="9" l="1"/>
  <c r="O55" i="21" s="1"/>
  <c r="O18" i="21" s="1"/>
  <c r="L15" i="9"/>
  <c r="L16" i="9" s="1"/>
  <c r="L41" i="9" s="1"/>
  <c r="L34" i="9" s="1"/>
  <c r="R73" i="4"/>
  <c r="R58" i="4"/>
  <c r="R62" i="4"/>
  <c r="O85" i="21" l="1"/>
  <c r="O25" i="21"/>
  <c r="L33" i="9"/>
  <c r="L36" i="9"/>
  <c r="R12" i="5"/>
  <c r="O28" i="21" l="1"/>
  <c r="O88" i="21"/>
  <c r="O26" i="21"/>
  <c r="O86" i="21"/>
  <c r="K79" i="4"/>
  <c r="K84" i="4" s="1"/>
  <c r="K90" i="4" l="1"/>
  <c r="K89" i="4"/>
  <c r="F84" i="8"/>
  <c r="F86" i="8" s="1"/>
  <c r="K35" i="4" l="1"/>
  <c r="K37" i="4" l="1"/>
  <c r="K11" i="4" s="1"/>
  <c r="K93" i="4" s="1"/>
  <c r="K91" i="4"/>
  <c r="K10" i="4"/>
  <c r="K12" i="4" l="1"/>
  <c r="K38" i="4"/>
  <c r="K95" i="4"/>
  <c r="K99" i="4" s="1"/>
  <c r="K101" i="4" s="1"/>
  <c r="K59" i="4"/>
  <c r="K55" i="4" l="1"/>
  <c r="K22" i="4" s="1"/>
  <c r="F99" i="8"/>
  <c r="F107" i="8" s="1"/>
  <c r="L34" i="4"/>
  <c r="L36" i="4" s="1"/>
  <c r="L92" i="4" s="1"/>
  <c r="L9" i="4"/>
  <c r="K114" i="4"/>
  <c r="K116" i="4" s="1"/>
  <c r="K53" i="4"/>
  <c r="K20" i="4" s="1"/>
  <c r="K91" i="2"/>
  <c r="E66" i="8" l="1"/>
  <c r="D10" i="21" s="1"/>
  <c r="F108" i="8"/>
  <c r="F105" i="8" s="1"/>
  <c r="K95" i="2"/>
  <c r="L42" i="4"/>
  <c r="L15" i="4" s="1"/>
  <c r="L112" i="4"/>
  <c r="L41" i="4"/>
  <c r="F104" i="8" l="1"/>
  <c r="L74" i="4"/>
  <c r="L77" i="4" l="1"/>
  <c r="L79" i="4" s="1"/>
  <c r="L84" i="4" s="1"/>
  <c r="L113" i="4" l="1"/>
  <c r="K103" i="2" l="1"/>
  <c r="L86" i="4" l="1"/>
  <c r="L88" i="4" s="1"/>
  <c r="K149" i="2"/>
  <c r="K16" i="4"/>
  <c r="K17" i="4" s="1"/>
  <c r="K56" i="4" s="1"/>
  <c r="K54" i="4" l="1"/>
  <c r="K52" i="4"/>
  <c r="K19" i="4" s="1"/>
  <c r="L90" i="4"/>
  <c r="L89" i="4"/>
  <c r="K21" i="4"/>
  <c r="L35" i="4" l="1"/>
  <c r="L37" i="4" l="1"/>
  <c r="L11" i="4" s="1"/>
  <c r="L93" i="4" s="1"/>
  <c r="L91" i="4"/>
  <c r="L10" i="4"/>
  <c r="L12" i="4" l="1"/>
  <c r="L38" i="4"/>
  <c r="L95" i="4"/>
  <c r="L99" i="4" l="1"/>
  <c r="L101" i="4" s="1"/>
  <c r="L59" i="4"/>
  <c r="M34" i="4"/>
  <c r="M9" i="4"/>
  <c r="L55" i="4" l="1"/>
  <c r="L91" i="2"/>
  <c r="L53" i="4"/>
  <c r="L20" i="4" s="1"/>
  <c r="L22" i="4"/>
  <c r="L114" i="4"/>
  <c r="L116" i="4" s="1"/>
  <c r="M36" i="4"/>
  <c r="M92" i="4" s="1"/>
  <c r="M41" i="4" l="1"/>
  <c r="M42" i="4"/>
  <c r="M15" i="4" s="1"/>
  <c r="M112" i="4"/>
  <c r="L95" i="2"/>
  <c r="M74" i="4" l="1"/>
  <c r="M86" i="4" l="1"/>
  <c r="M88" i="4" s="1"/>
  <c r="L16" i="4" l="1"/>
  <c r="L17" i="4" s="1"/>
  <c r="L56" i="4" s="1"/>
  <c r="L103" i="2"/>
  <c r="L149" i="2"/>
  <c r="M113" i="4"/>
  <c r="M77" i="4"/>
  <c r="M79" i="4" s="1"/>
  <c r="M84" i="4" s="1"/>
  <c r="M89" i="4" s="1"/>
  <c r="L54" i="4" l="1"/>
  <c r="L21" i="4" s="1"/>
  <c r="L52" i="4"/>
  <c r="L19" i="4" s="1"/>
  <c r="M35" i="4"/>
  <c r="M90" i="4"/>
  <c r="M91" i="4" l="1"/>
  <c r="M10" i="4"/>
  <c r="M37" i="4"/>
  <c r="M11" i="4" s="1"/>
  <c r="M93" i="4" s="1"/>
  <c r="M95" i="4" l="1"/>
  <c r="M12" i="4"/>
  <c r="M38" i="4"/>
  <c r="M99" i="4" l="1"/>
  <c r="M101" i="4" s="1"/>
  <c r="M114" i="4" s="1"/>
  <c r="M116" i="4" s="1"/>
  <c r="N9" i="4"/>
  <c r="N34" i="4"/>
  <c r="M59" i="4"/>
  <c r="M55" i="4" l="1"/>
  <c r="N36" i="4"/>
  <c r="N92" i="4" s="1"/>
  <c r="M91" i="2"/>
  <c r="N112" i="4"/>
  <c r="M53" i="4"/>
  <c r="M20" i="4" s="1"/>
  <c r="M22" i="4"/>
  <c r="M95" i="2" l="1"/>
  <c r="N42" i="4"/>
  <c r="N15" i="4" s="1"/>
  <c r="N41" i="4"/>
  <c r="N74" i="4" l="1"/>
  <c r="M149" i="2" l="1"/>
  <c r="N86" i="4"/>
  <c r="N88" i="4" s="1"/>
  <c r="M16" i="4"/>
  <c r="M17" i="4" s="1"/>
  <c r="M56" i="4" s="1"/>
  <c r="M103" i="2"/>
  <c r="M54" i="4" l="1"/>
  <c r="M52" i="4"/>
  <c r="M19" i="4" s="1"/>
  <c r="N113" i="4"/>
  <c r="M21" i="4"/>
  <c r="N77" i="4"/>
  <c r="N79" i="4" s="1"/>
  <c r="N84" i="4" s="1"/>
  <c r="N90" i="4" s="1"/>
  <c r="N89" i="4" l="1"/>
  <c r="N35" i="4" l="1"/>
  <c r="N10" i="4" l="1"/>
  <c r="N91" i="4"/>
  <c r="N37" i="4"/>
  <c r="N11" i="4" s="1"/>
  <c r="N93" i="4" s="1"/>
  <c r="N38" i="4" l="1"/>
  <c r="N95" i="4"/>
  <c r="N12" i="4"/>
  <c r="O9" i="4" l="1"/>
  <c r="N99" i="4"/>
  <c r="N101" i="4" s="1"/>
  <c r="O34" i="4"/>
  <c r="N59" i="4"/>
  <c r="N55" i="4" l="1"/>
  <c r="N53" i="4"/>
  <c r="N20" i="4" s="1"/>
  <c r="N22" i="4"/>
  <c r="N114" i="4"/>
  <c r="N116" i="4" s="1"/>
  <c r="O36" i="4"/>
  <c r="O92" i="4" s="1"/>
  <c r="N91" i="2"/>
  <c r="O41" i="4" l="1"/>
  <c r="O42" i="4"/>
  <c r="O15" i="4" s="1"/>
  <c r="O112" i="4"/>
  <c r="N95" i="2"/>
  <c r="O74" i="4" l="1"/>
  <c r="N16" i="4" l="1"/>
  <c r="N17" i="4" s="1"/>
  <c r="N56" i="4" s="1"/>
  <c r="O86" i="4"/>
  <c r="O88" i="4" s="1"/>
  <c r="O77" i="4"/>
  <c r="O79" i="4" s="1"/>
  <c r="O84" i="4" s="1"/>
  <c r="N103" i="2"/>
  <c r="N54" i="4" l="1"/>
  <c r="N52" i="4"/>
  <c r="N149" i="2"/>
  <c r="O90" i="4"/>
  <c r="O89" i="4"/>
  <c r="N21" i="4"/>
  <c r="N19" i="4"/>
  <c r="O113" i="4"/>
  <c r="O35" i="4" l="1"/>
  <c r="O10" i="4" l="1"/>
  <c r="O91" i="4"/>
  <c r="O37" i="4"/>
  <c r="O11" i="4" s="1"/>
  <c r="O93" i="4" s="1"/>
  <c r="O38" i="4" l="1"/>
  <c r="O95" i="4"/>
  <c r="O12" i="4"/>
  <c r="P9" i="4" l="1"/>
  <c r="O99" i="4"/>
  <c r="O101" i="4" s="1"/>
  <c r="P34" i="4"/>
  <c r="O59" i="4"/>
  <c r="O55" i="4" l="1"/>
  <c r="O114" i="4"/>
  <c r="O116" i="4" s="1"/>
  <c r="P36" i="4"/>
  <c r="P92" i="4" s="1"/>
  <c r="O22" i="4"/>
  <c r="O53" i="4"/>
  <c r="O20" i="4" s="1"/>
  <c r="O91" i="2"/>
  <c r="P41" i="4" l="1"/>
  <c r="P42" i="4"/>
  <c r="P15" i="4" s="1"/>
  <c r="P74" i="4" s="1"/>
  <c r="O95" i="2"/>
  <c r="P112" i="4"/>
  <c r="O103" i="2" l="1"/>
  <c r="P86" i="4" l="1"/>
  <c r="P88" i="4" s="1"/>
  <c r="O149" i="2"/>
  <c r="O16" i="4"/>
  <c r="O17" i="4" s="1"/>
  <c r="O56" i="4" s="1"/>
  <c r="P113" i="4"/>
  <c r="P77" i="4"/>
  <c r="P79" i="4" s="1"/>
  <c r="P84" i="4" s="1"/>
  <c r="O54" i="4" l="1"/>
  <c r="O52" i="4"/>
  <c r="P90" i="4"/>
  <c r="P89" i="4"/>
  <c r="O19" i="4"/>
  <c r="O21" i="4"/>
  <c r="P35" i="4" l="1"/>
  <c r="P10" i="4" l="1"/>
  <c r="P91" i="4"/>
  <c r="P37" i="4"/>
  <c r="P11" i="4" s="1"/>
  <c r="P93" i="4" s="1"/>
  <c r="P38" i="4" l="1"/>
  <c r="P95" i="4"/>
  <c r="P12" i="4"/>
  <c r="Q9" i="4" l="1"/>
  <c r="P99" i="4"/>
  <c r="P101" i="4" s="1"/>
  <c r="Q34" i="4"/>
  <c r="P59" i="4"/>
  <c r="P55" i="4" l="1"/>
  <c r="P22" i="4" s="1"/>
  <c r="P114" i="4"/>
  <c r="P116" i="4" s="1"/>
  <c r="P53" i="4"/>
  <c r="P20" i="4" s="1"/>
  <c r="Q36" i="4"/>
  <c r="Q92" i="4" s="1"/>
  <c r="P91" i="2"/>
  <c r="Q42" i="4" l="1"/>
  <c r="Q15" i="4" s="1"/>
  <c r="Q41" i="4"/>
  <c r="P95" i="2"/>
  <c r="Q112" i="4"/>
  <c r="Q74" i="4" l="1"/>
  <c r="P103" i="2" l="1"/>
  <c r="Q86" i="4"/>
  <c r="Q88" i="4" s="1"/>
  <c r="Q77" i="4"/>
  <c r="Q79" i="4" s="1"/>
  <c r="Q84" i="4" s="1"/>
  <c r="P16" i="4" l="1"/>
  <c r="P17" i="4" s="1"/>
  <c r="P56" i="4" s="1"/>
  <c r="P149" i="2"/>
  <c r="Q113" i="4"/>
  <c r="Q90" i="4"/>
  <c r="Q89" i="4"/>
  <c r="P54" i="4" l="1"/>
  <c r="P21" i="4" s="1"/>
  <c r="P52" i="4"/>
  <c r="P19" i="4" s="1"/>
  <c r="Q35" i="4"/>
  <c r="Q91" i="4" l="1"/>
  <c r="Q10" i="4"/>
  <c r="Q37" i="4"/>
  <c r="Q11" i="4" s="1"/>
  <c r="Q93" i="4" s="1"/>
  <c r="Q38" i="4" l="1"/>
  <c r="Q12" i="4"/>
  <c r="Q95" i="4"/>
  <c r="Q99" i="4" l="1"/>
  <c r="Q101" i="4" s="1"/>
  <c r="R9" i="4"/>
  <c r="R34" i="4"/>
  <c r="Q59" i="4"/>
  <c r="Q55" i="4" l="1"/>
  <c r="Q22" i="4" s="1"/>
  <c r="Q53" i="4"/>
  <c r="Q20" i="4" s="1"/>
  <c r="R36" i="4"/>
  <c r="R92" i="4" s="1"/>
  <c r="Q114" i="4"/>
  <c r="Q116" i="4" s="1"/>
  <c r="Q91" i="2"/>
  <c r="Q95" i="2" l="1"/>
  <c r="R41" i="4"/>
  <c r="R112" i="4"/>
  <c r="R42" i="4"/>
  <c r="R15" i="4" s="1"/>
  <c r="R74" i="4" l="1"/>
  <c r="R86" i="4" l="1"/>
  <c r="R88" i="4" s="1"/>
  <c r="Q149" i="2"/>
  <c r="Q16" i="4"/>
  <c r="Q17" i="4" s="1"/>
  <c r="Q56" i="4" s="1"/>
  <c r="Q103" i="2"/>
  <c r="Q54" i="4" l="1"/>
  <c r="Q52" i="4"/>
  <c r="Q19" i="4" s="1"/>
  <c r="R77" i="4"/>
  <c r="R79" i="4" s="1"/>
  <c r="R84" i="4" s="1"/>
  <c r="R90" i="4" s="1"/>
  <c r="Q21" i="4"/>
  <c r="R89" i="4" l="1"/>
  <c r="R35" i="4" s="1"/>
  <c r="R113" i="4"/>
  <c r="R91" i="4" l="1"/>
  <c r="R10" i="4"/>
  <c r="R37" i="4"/>
  <c r="R11" i="4" s="1"/>
  <c r="R93" i="4" s="1"/>
  <c r="R12" i="4" l="1"/>
  <c r="R95" i="4"/>
  <c r="R38" i="4"/>
  <c r="R59" i="4" l="1"/>
  <c r="R99" i="4"/>
  <c r="R101" i="4" s="1"/>
  <c r="R55" i="4" l="1"/>
  <c r="R53" i="4"/>
  <c r="R20" i="4" s="1"/>
  <c r="R22" i="4"/>
  <c r="R114" i="4"/>
  <c r="R116" i="4" s="1"/>
  <c r="R91" i="2"/>
  <c r="R95" i="2" l="1"/>
  <c r="R103" i="2" l="1"/>
  <c r="R16" i="4"/>
  <c r="R17" i="4" s="1"/>
  <c r="R56" i="4" s="1"/>
  <c r="R54" i="4" l="1"/>
  <c r="R21" i="4" s="1"/>
  <c r="R52" i="4"/>
  <c r="R149" i="2"/>
  <c r="R19" i="4"/>
  <c r="G79" i="9" l="1"/>
  <c r="G82" i="9" s="1"/>
  <c r="G83" i="9" l="1"/>
  <c r="G88" i="9" s="1"/>
  <c r="J56" i="21" s="1"/>
  <c r="E52" i="8"/>
  <c r="N10" i="21" s="1"/>
  <c r="E51" i="8"/>
  <c r="N9" i="21" s="1"/>
  <c r="E50" i="8"/>
  <c r="N8" i="21" s="1"/>
  <c r="E49" i="8"/>
  <c r="N7" i="21" s="1"/>
  <c r="H79" i="9"/>
  <c r="H82" i="9" s="1"/>
  <c r="H83" i="9" s="1"/>
  <c r="H88" i="9" s="1"/>
  <c r="K56" i="21" s="1"/>
  <c r="N11" i="21" l="1"/>
  <c r="I79" i="21"/>
  <c r="I80" i="21"/>
  <c r="K19" i="21"/>
  <c r="K57" i="21"/>
  <c r="J19" i="21"/>
  <c r="J57" i="21"/>
  <c r="E53" i="8"/>
  <c r="F98" i="9"/>
  <c r="H87" i="9"/>
  <c r="H89" i="9" s="1"/>
  <c r="K55" i="21" s="1"/>
  <c r="K18" i="21" s="1"/>
  <c r="F108" i="9"/>
  <c r="F113" i="9"/>
  <c r="I40" i="21" s="1"/>
  <c r="F103" i="9"/>
  <c r="G87" i="9"/>
  <c r="G89" i="9" s="1"/>
  <c r="J55" i="21" s="1"/>
  <c r="J18" i="21" s="1"/>
  <c r="E154" i="9"/>
  <c r="J79" i="9"/>
  <c r="J82" i="9" s="1"/>
  <c r="J83" i="9" s="1"/>
  <c r="J88" i="9" s="1"/>
  <c r="M56" i="21" s="1"/>
  <c r="I79" i="9"/>
  <c r="I82" i="9" s="1"/>
  <c r="I83" i="9" s="1"/>
  <c r="I88" i="9" s="1"/>
  <c r="L56" i="21" s="1"/>
  <c r="L57" i="21" l="1"/>
  <c r="L19" i="21"/>
  <c r="I36" i="21"/>
  <c r="I41" i="21" s="1"/>
  <c r="I68" i="21" s="1"/>
  <c r="I43" i="21" s="1"/>
  <c r="I100" i="21"/>
  <c r="I34" i="21"/>
  <c r="I106" i="21"/>
  <c r="M19" i="21"/>
  <c r="E19" i="21" s="1"/>
  <c r="M57" i="21"/>
  <c r="I38" i="21"/>
  <c r="I112" i="21"/>
  <c r="E82" i="9"/>
  <c r="E18" i="21" s="1"/>
  <c r="H15" i="9"/>
  <c r="H16" i="9" s="1"/>
  <c r="G15" i="9"/>
  <c r="G16" i="9" s="1"/>
  <c r="J87" i="9"/>
  <c r="J89" i="9" s="1"/>
  <c r="M55" i="21" s="1"/>
  <c r="M18" i="21" s="1"/>
  <c r="I87" i="9"/>
  <c r="I89" i="9" s="1"/>
  <c r="L55" i="21" s="1"/>
  <c r="L18" i="21" s="1"/>
  <c r="F61" i="9"/>
  <c r="G59" i="9" s="1"/>
  <c r="F53" i="9"/>
  <c r="G51" i="9" s="1"/>
  <c r="F57" i="9"/>
  <c r="G55" i="9" s="1"/>
  <c r="F49" i="9"/>
  <c r="G47" i="9" s="1"/>
  <c r="G94" i="9"/>
  <c r="E43" i="8" l="1"/>
  <c r="I15" i="9"/>
  <c r="I16" i="9" s="1"/>
  <c r="J15" i="9"/>
  <c r="J16" i="9" s="1"/>
  <c r="C13" i="10"/>
  <c r="G65" i="9"/>
  <c r="G8" i="9"/>
  <c r="G144" i="9"/>
  <c r="G115" i="9"/>
  <c r="G125" i="9"/>
  <c r="H94" i="9"/>
  <c r="C8" i="10" l="1"/>
  <c r="G31" i="9"/>
  <c r="G42" i="9" s="1"/>
  <c r="G45" i="9"/>
  <c r="I94" i="9"/>
  <c r="H125" i="9"/>
  <c r="H8" i="9"/>
  <c r="H144" i="9"/>
  <c r="H115" i="9"/>
  <c r="H65" i="9"/>
  <c r="G41" i="9" l="1"/>
  <c r="G34" i="9" s="1"/>
  <c r="H31" i="9"/>
  <c r="H42" i="9" s="1"/>
  <c r="H45" i="9"/>
  <c r="I115" i="9"/>
  <c r="I65" i="9"/>
  <c r="I125" i="9"/>
  <c r="I8" i="9"/>
  <c r="I144" i="9"/>
  <c r="J94" i="9"/>
  <c r="J25" i="21" l="1"/>
  <c r="J85" i="21"/>
  <c r="G36" i="9"/>
  <c r="G33" i="9"/>
  <c r="H41" i="9"/>
  <c r="H34" i="9" s="1"/>
  <c r="I31" i="9"/>
  <c r="I42" i="9" s="1"/>
  <c r="I45" i="9"/>
  <c r="F109" i="8"/>
  <c r="D104" i="8" s="1"/>
  <c r="F106" i="8"/>
  <c r="E67" i="8" s="1"/>
  <c r="D11" i="21" s="1"/>
  <c r="J65" i="9"/>
  <c r="J8" i="9"/>
  <c r="J144" i="9"/>
  <c r="J115" i="9"/>
  <c r="J125" i="9"/>
  <c r="F78" i="8"/>
  <c r="B40" i="21" l="1"/>
  <c r="J26" i="21"/>
  <c r="J86" i="21"/>
  <c r="J28" i="21"/>
  <c r="J88" i="21"/>
  <c r="D14" i="21"/>
  <c r="K85" i="21"/>
  <c r="K25" i="21"/>
  <c r="I41" i="9"/>
  <c r="I34" i="9" s="1"/>
  <c r="J31" i="9"/>
  <c r="J42" i="9" s="1"/>
  <c r="J45" i="9"/>
  <c r="H129" i="9"/>
  <c r="I129" i="9" s="1"/>
  <c r="J129" i="9" s="1"/>
  <c r="K129" i="9" s="1"/>
  <c r="L129" i="9" s="1"/>
  <c r="E68" i="8"/>
  <c r="H33" i="9"/>
  <c r="H36" i="9"/>
  <c r="Q40" i="21" l="1"/>
  <c r="Q6" i="21" s="1"/>
  <c r="R1" i="21" s="1"/>
  <c r="K28" i="21"/>
  <c r="K88" i="21"/>
  <c r="E7" i="21"/>
  <c r="I81" i="21"/>
  <c r="E10" i="21"/>
  <c r="E8" i="21"/>
  <c r="E9" i="21"/>
  <c r="K26" i="21"/>
  <c r="K86" i="21"/>
  <c r="L25" i="21"/>
  <c r="L85" i="21"/>
  <c r="E11" i="21"/>
  <c r="J41" i="9"/>
  <c r="J34" i="9" s="1"/>
  <c r="F67" i="8"/>
  <c r="I33" i="9"/>
  <c r="I36" i="9"/>
  <c r="F63" i="8"/>
  <c r="F62" i="8"/>
  <c r="F64" i="8"/>
  <c r="F66" i="8"/>
  <c r="E14" i="21" l="1"/>
  <c r="L28" i="21"/>
  <c r="L88" i="21"/>
  <c r="M25" i="21"/>
  <c r="M85" i="21"/>
  <c r="L26" i="21"/>
  <c r="L86" i="21"/>
  <c r="F68" i="8"/>
  <c r="J36" i="9"/>
  <c r="J33" i="9"/>
  <c r="M88" i="21" l="1"/>
  <c r="M28" i="21"/>
  <c r="M86" i="21"/>
  <c r="M26" i="21"/>
  <c r="E70" i="8"/>
  <c r="E58" i="8"/>
  <c r="N13" i="21" s="1"/>
  <c r="I77" i="21" l="1"/>
  <c r="E55" i="8"/>
  <c r="N12" i="21" s="1"/>
  <c r="E71" i="8"/>
  <c r="I78" i="21" l="1"/>
  <c r="I84" i="21"/>
  <c r="N14" i="21"/>
  <c r="O12" i="21" s="1"/>
  <c r="F38" i="8"/>
  <c r="E39" i="8"/>
  <c r="F39" i="8"/>
  <c r="E38" i="8"/>
  <c r="F32" i="9"/>
  <c r="I24" i="21" s="1"/>
  <c r="I30" i="21" s="1"/>
  <c r="F110" i="8"/>
  <c r="E105" i="8" s="1"/>
  <c r="E56" i="8"/>
  <c r="F70" i="8"/>
  <c r="F71" i="8" s="1"/>
  <c r="I90" i="21" l="1"/>
  <c r="O7" i="21"/>
  <c r="O8" i="21"/>
  <c r="O9" i="21"/>
  <c r="O10" i="21"/>
  <c r="O11" i="21"/>
  <c r="O13" i="21"/>
  <c r="F38" i="9"/>
  <c r="E59" i="8"/>
  <c r="O14" i="21" l="1"/>
  <c r="F49" i="8"/>
  <c r="F50" i="8"/>
  <c r="F51" i="8"/>
  <c r="F52" i="8"/>
  <c r="F53" i="8"/>
  <c r="A68" i="8"/>
  <c r="F58" i="8"/>
  <c r="F55" i="8"/>
  <c r="F56" i="8"/>
  <c r="F59" i="8" l="1"/>
  <c r="G106" i="9"/>
  <c r="J110" i="21" s="1"/>
  <c r="G101" i="9" l="1"/>
  <c r="J98" i="21" s="1"/>
  <c r="G96" i="9"/>
  <c r="J104" i="21" s="1"/>
  <c r="G134" i="9"/>
  <c r="J113" i="21" s="1"/>
  <c r="G132" i="9" l="1"/>
  <c r="J101" i="21" s="1"/>
  <c r="G133" i="9"/>
  <c r="J107" i="21" s="1"/>
  <c r="G136" i="9" l="1"/>
  <c r="J64" i="21" s="1"/>
  <c r="G27" i="9" l="1"/>
  <c r="E42" i="8" l="1"/>
  <c r="G111" i="9"/>
  <c r="J116" i="21" s="1"/>
  <c r="G135" i="9" l="1"/>
  <c r="J63" i="21" l="1"/>
  <c r="J119" i="21"/>
  <c r="G137" i="9"/>
  <c r="J65" i="21" s="1"/>
  <c r="G138" i="9"/>
  <c r="G17" i="9" s="1"/>
  <c r="J59" i="21" s="1"/>
  <c r="J62" i="21" s="1"/>
  <c r="J66" i="21" l="1"/>
  <c r="J21" i="21" s="1"/>
  <c r="J20" i="21"/>
  <c r="J70" i="21"/>
  <c r="J45" i="21" s="1"/>
  <c r="J69" i="21"/>
  <c r="J44" i="21" s="1"/>
  <c r="J72" i="21"/>
  <c r="G21" i="9"/>
  <c r="G20" i="9" l="1"/>
  <c r="G23" i="9" s="1"/>
  <c r="G146" i="9" l="1"/>
  <c r="G147" i="9" l="1"/>
  <c r="G97" i="9" l="1"/>
  <c r="J105" i="21" s="1"/>
  <c r="G149" i="9"/>
  <c r="G150" i="9" s="1"/>
  <c r="G102" i="9" s="1"/>
  <c r="J99" i="21" s="1"/>
  <c r="G103" i="9" l="1"/>
  <c r="G52" i="9"/>
  <c r="G152" i="9"/>
  <c r="G48" i="9"/>
  <c r="G98" i="9"/>
  <c r="G49" i="9" l="1"/>
  <c r="J33" i="21"/>
  <c r="G53" i="9"/>
  <c r="J35" i="21"/>
  <c r="J34" i="21"/>
  <c r="J106" i="21"/>
  <c r="G116" i="9"/>
  <c r="J36" i="21"/>
  <c r="J100" i="21"/>
  <c r="H101" i="9"/>
  <c r="K98" i="21" s="1"/>
  <c r="G117" i="9"/>
  <c r="F43" i="8"/>
  <c r="H96" i="9"/>
  <c r="K104" i="21" s="1"/>
  <c r="H132" i="9" l="1"/>
  <c r="K101" i="21" s="1"/>
  <c r="H51" i="9"/>
  <c r="H133" i="9"/>
  <c r="K107" i="21" s="1"/>
  <c r="H47" i="9"/>
  <c r="F117" i="8"/>
  <c r="F45" i="8" s="1"/>
  <c r="G153" i="9" l="1"/>
  <c r="G156" i="9" l="1"/>
  <c r="G157" i="9" s="1"/>
  <c r="G112" i="9" s="1"/>
  <c r="J117" i="21" s="1"/>
  <c r="J118" i="21" s="1"/>
  <c r="G107" i="9"/>
  <c r="J111" i="21" s="1"/>
  <c r="G113" i="9" l="1"/>
  <c r="G24" i="9"/>
  <c r="J73" i="21" s="1"/>
  <c r="G60" i="9"/>
  <c r="G56" i="9"/>
  <c r="G108" i="9"/>
  <c r="G61" i="9" l="1"/>
  <c r="J39" i="21"/>
  <c r="G57" i="9"/>
  <c r="J37" i="21"/>
  <c r="J22" i="21"/>
  <c r="J23" i="21" s="1"/>
  <c r="J74" i="21"/>
  <c r="J38" i="21"/>
  <c r="J112" i="21"/>
  <c r="G119" i="9"/>
  <c r="G121" i="9" s="1"/>
  <c r="J40" i="21"/>
  <c r="G25" i="9"/>
  <c r="G37" i="9" s="1"/>
  <c r="J29" i="21" s="1"/>
  <c r="H111" i="9"/>
  <c r="H106" i="9"/>
  <c r="K110" i="21" s="1"/>
  <c r="G118" i="9"/>
  <c r="G120" i="9" s="1"/>
  <c r="G122" i="9" s="1"/>
  <c r="G28" i="9" l="1"/>
  <c r="H27" i="9" s="1"/>
  <c r="J41" i="21"/>
  <c r="J68" i="21" s="1"/>
  <c r="J43" i="21" s="1"/>
  <c r="F42" i="8" s="1"/>
  <c r="H59" i="9"/>
  <c r="K116" i="21"/>
  <c r="J89" i="21"/>
  <c r="H135" i="9"/>
  <c r="H137" i="9" s="1"/>
  <c r="K65" i="21" s="1"/>
  <c r="G35" i="9"/>
  <c r="G123" i="9"/>
  <c r="H134" i="9"/>
  <c r="K113" i="21" s="1"/>
  <c r="H55" i="9"/>
  <c r="J27" i="21" l="1"/>
  <c r="J30" i="21" s="1"/>
  <c r="J87" i="21"/>
  <c r="J90" i="21" s="1"/>
  <c r="K63" i="21"/>
  <c r="K119" i="21"/>
  <c r="H136" i="9"/>
  <c r="K64" i="21" s="1"/>
  <c r="H138" i="9"/>
  <c r="G38" i="9"/>
  <c r="K66" i="21" l="1"/>
  <c r="K21" i="21" s="1"/>
  <c r="H17" i="9"/>
  <c r="K59" i="21" s="1"/>
  <c r="K62" i="21" s="1"/>
  <c r="H21" i="9"/>
  <c r="K72" i="21" l="1"/>
  <c r="K20" i="21"/>
  <c r="K70" i="21"/>
  <c r="K45" i="21" s="1"/>
  <c r="K69" i="21"/>
  <c r="K44" i="21" s="1"/>
  <c r="H20" i="9"/>
  <c r="H23" i="9" s="1"/>
  <c r="H146" i="9" l="1"/>
  <c r="H147" i="9" l="1"/>
  <c r="H97" i="9" s="1"/>
  <c r="K105" i="21" s="1"/>
  <c r="H98" i="9" l="1"/>
  <c r="H48" i="9"/>
  <c r="H149" i="9"/>
  <c r="H150" i="9" s="1"/>
  <c r="H49" i="9" l="1"/>
  <c r="K33" i="21"/>
  <c r="K34" i="21"/>
  <c r="K106" i="21"/>
  <c r="I96" i="9"/>
  <c r="L104" i="21" s="1"/>
  <c r="H117" i="9"/>
  <c r="H102" i="9"/>
  <c r="K99" i="21" s="1"/>
  <c r="H152" i="9"/>
  <c r="H153" i="9" s="1"/>
  <c r="H107" i="9" l="1"/>
  <c r="K111" i="21" s="1"/>
  <c r="H156" i="9"/>
  <c r="H157" i="9" s="1"/>
  <c r="H112" i="9" s="1"/>
  <c r="K117" i="21" s="1"/>
  <c r="K118" i="21" s="1"/>
  <c r="I133" i="9"/>
  <c r="L107" i="21" s="1"/>
  <c r="I47" i="9"/>
  <c r="H103" i="9"/>
  <c r="H52" i="9"/>
  <c r="H53" i="9" l="1"/>
  <c r="K35" i="21"/>
  <c r="K36" i="21"/>
  <c r="K100" i="21"/>
  <c r="H60" i="9"/>
  <c r="H113" i="9"/>
  <c r="K40" i="21" s="1"/>
  <c r="I101" i="9"/>
  <c r="L98" i="21" s="1"/>
  <c r="H116" i="9"/>
  <c r="H24" i="9"/>
  <c r="K73" i="21" s="1"/>
  <c r="H108" i="9"/>
  <c r="H56" i="9"/>
  <c r="H57" i="9" l="1"/>
  <c r="K37" i="21"/>
  <c r="H61" i="9"/>
  <c r="K39" i="21"/>
  <c r="K112" i="21"/>
  <c r="K38" i="21"/>
  <c r="K22" i="21"/>
  <c r="K23" i="21" s="1"/>
  <c r="K74" i="21"/>
  <c r="H25" i="9"/>
  <c r="H37" i="9" s="1"/>
  <c r="K29" i="21" s="1"/>
  <c r="I111" i="9"/>
  <c r="L116" i="21" s="1"/>
  <c r="H119" i="9"/>
  <c r="H121" i="9" s="1"/>
  <c r="I132" i="9"/>
  <c r="L101" i="21" s="1"/>
  <c r="I51" i="9"/>
  <c r="I106" i="9"/>
  <c r="L110" i="21" s="1"/>
  <c r="H118" i="9"/>
  <c r="H120" i="9" s="1"/>
  <c r="K41" i="21" l="1"/>
  <c r="K68" i="21" s="1"/>
  <c r="K43" i="21" s="1"/>
  <c r="K89" i="21"/>
  <c r="H28" i="9"/>
  <c r="I27" i="9" s="1"/>
  <c r="H122" i="9"/>
  <c r="H123" i="9" s="1"/>
  <c r="I134" i="9"/>
  <c r="L113" i="21" s="1"/>
  <c r="I55" i="9"/>
  <c r="I135" i="9"/>
  <c r="I59" i="9"/>
  <c r="L63" i="21" l="1"/>
  <c r="L119" i="21"/>
  <c r="H35" i="9"/>
  <c r="I138" i="9"/>
  <c r="I21" i="9" s="1"/>
  <c r="I137" i="9"/>
  <c r="L65" i="21" s="1"/>
  <c r="I136" i="9"/>
  <c r="L64" i="21" s="1"/>
  <c r="K27" i="21" l="1"/>
  <c r="K30" i="21" s="1"/>
  <c r="K87" i="21"/>
  <c r="K90" i="21" s="1"/>
  <c r="I17" i="9"/>
  <c r="L59" i="21" s="1"/>
  <c r="L62" i="21" s="1"/>
  <c r="L66" i="21"/>
  <c r="L21" i="21" s="1"/>
  <c r="H38" i="9"/>
  <c r="L69" i="21" l="1"/>
  <c r="L44" i="21" s="1"/>
  <c r="L72" i="21"/>
  <c r="L20" i="21"/>
  <c r="L70" i="21"/>
  <c r="L45" i="21" s="1"/>
  <c r="I20" i="9"/>
  <c r="I23" i="9" s="1"/>
  <c r="I146" i="9" s="1"/>
  <c r="I147" i="9" l="1"/>
  <c r="I97" i="9" s="1"/>
  <c r="L105" i="21" s="1"/>
  <c r="I48" i="9" l="1"/>
  <c r="I98" i="9"/>
  <c r="I149" i="9"/>
  <c r="I150" i="9" s="1"/>
  <c r="I49" i="9" l="1"/>
  <c r="L33" i="21"/>
  <c r="L106" i="21"/>
  <c r="L34" i="21"/>
  <c r="J96" i="9"/>
  <c r="M104" i="21" s="1"/>
  <c r="I117" i="9"/>
  <c r="I102" i="9"/>
  <c r="L99" i="21" s="1"/>
  <c r="I152" i="9"/>
  <c r="I153" i="9" s="1"/>
  <c r="I156" i="9" s="1"/>
  <c r="I157" i="9" s="1"/>
  <c r="I112" i="9" s="1"/>
  <c r="L117" i="21" s="1"/>
  <c r="L118" i="21" s="1"/>
  <c r="I60" i="9" l="1"/>
  <c r="I113" i="9"/>
  <c r="L40" i="21" s="1"/>
  <c r="J133" i="9"/>
  <c r="M107" i="21" s="1"/>
  <c r="J47" i="9"/>
  <c r="I107" i="9"/>
  <c r="L111" i="21" s="1"/>
  <c r="I24" i="9"/>
  <c r="L73" i="21" s="1"/>
  <c r="I52" i="9"/>
  <c r="I103" i="9"/>
  <c r="I53" i="9" l="1"/>
  <c r="L35" i="21"/>
  <c r="I61" i="9"/>
  <c r="L39" i="21"/>
  <c r="L36" i="21"/>
  <c r="L100" i="21"/>
  <c r="L22" i="21"/>
  <c r="L23" i="21" s="1"/>
  <c r="L74" i="21"/>
  <c r="J111" i="9"/>
  <c r="M116" i="21" s="1"/>
  <c r="I119" i="9"/>
  <c r="I121" i="9" s="1"/>
  <c r="I56" i="9"/>
  <c r="I108" i="9"/>
  <c r="I25" i="9"/>
  <c r="I37" i="9" s="1"/>
  <c r="L29" i="21" s="1"/>
  <c r="J101" i="9"/>
  <c r="M98" i="21" s="1"/>
  <c r="I116" i="9"/>
  <c r="I57" i="9" l="1"/>
  <c r="L37" i="21"/>
  <c r="L38" i="21"/>
  <c r="L112" i="21"/>
  <c r="L89" i="21"/>
  <c r="J106" i="9"/>
  <c r="M110" i="21" s="1"/>
  <c r="I118" i="9"/>
  <c r="I120" i="9" s="1"/>
  <c r="I122" i="9" s="1"/>
  <c r="I35" i="9" s="1"/>
  <c r="J132" i="9"/>
  <c r="M101" i="21" s="1"/>
  <c r="J51" i="9"/>
  <c r="I28" i="9"/>
  <c r="J27" i="9" s="1"/>
  <c r="J135" i="9"/>
  <c r="J59" i="9"/>
  <c r="L41" i="21" l="1"/>
  <c r="L68" i="21" s="1"/>
  <c r="L43" i="21" s="1"/>
  <c r="L27" i="21"/>
  <c r="L30" i="21" s="1"/>
  <c r="L87" i="21"/>
  <c r="L90" i="21" s="1"/>
  <c r="M63" i="21"/>
  <c r="M119" i="21"/>
  <c r="J137" i="9"/>
  <c r="M65" i="21" s="1"/>
  <c r="I123" i="9"/>
  <c r="I38" i="9"/>
  <c r="J55" i="9"/>
  <c r="J134" i="9"/>
  <c r="M113" i="21" s="1"/>
  <c r="J136" i="9" l="1"/>
  <c r="M64" i="21" s="1"/>
  <c r="M66" i="21" s="1"/>
  <c r="M21" i="21" s="1"/>
  <c r="J138" i="9"/>
  <c r="J21" i="9" l="1"/>
  <c r="J17" i="9"/>
  <c r="M59" i="21" s="1"/>
  <c r="M62" i="21" s="1"/>
  <c r="M20" i="21" l="1"/>
  <c r="M70" i="21"/>
  <c r="M45" i="21" s="1"/>
  <c r="M69" i="21"/>
  <c r="M44" i="21" s="1"/>
  <c r="M72" i="21"/>
  <c r="J20" i="9"/>
  <c r="J23" i="9" s="1"/>
  <c r="J146" i="9" l="1"/>
  <c r="J147" i="9" l="1"/>
  <c r="J97" i="9" s="1"/>
  <c r="M105" i="21" s="1"/>
  <c r="J149" i="9" l="1"/>
  <c r="J150" i="9" s="1"/>
  <c r="J48" i="9"/>
  <c r="J98" i="9"/>
  <c r="J49" i="9" l="1"/>
  <c r="M33" i="21"/>
  <c r="M34" i="21"/>
  <c r="M106" i="21"/>
  <c r="J102" i="9"/>
  <c r="M99" i="21" s="1"/>
  <c r="K96" i="9"/>
  <c r="N104" i="21" s="1"/>
  <c r="J117" i="9"/>
  <c r="J152" i="9"/>
  <c r="J153" i="9" s="1"/>
  <c r="K133" i="9" l="1"/>
  <c r="N107" i="21" s="1"/>
  <c r="K47" i="9"/>
  <c r="J107" i="9"/>
  <c r="M111" i="21" s="1"/>
  <c r="J156" i="9"/>
  <c r="J157" i="9" s="1"/>
  <c r="J112" i="9" s="1"/>
  <c r="M117" i="21" s="1"/>
  <c r="M118" i="21" s="1"/>
  <c r="J52" i="9"/>
  <c r="J103" i="9"/>
  <c r="J53" i="9" l="1"/>
  <c r="M35" i="21"/>
  <c r="M36" i="21"/>
  <c r="M100" i="21"/>
  <c r="J60" i="9"/>
  <c r="J113" i="9"/>
  <c r="M40" i="21" s="1"/>
  <c r="J24" i="9"/>
  <c r="M73" i="21" s="1"/>
  <c r="J56" i="9"/>
  <c r="J108" i="9"/>
  <c r="K101" i="9"/>
  <c r="N98" i="21" s="1"/>
  <c r="J116" i="9"/>
  <c r="J57" i="9" l="1"/>
  <c r="M37" i="21"/>
  <c r="J61" i="9"/>
  <c r="M39" i="21"/>
  <c r="M41" i="21" s="1"/>
  <c r="M68" i="21" s="1"/>
  <c r="M43" i="21" s="1"/>
  <c r="M38" i="21"/>
  <c r="M112" i="21"/>
  <c r="M22" i="21"/>
  <c r="M23" i="21" s="1"/>
  <c r="M74" i="21"/>
  <c r="K132" i="9"/>
  <c r="N101" i="21" s="1"/>
  <c r="K51" i="9"/>
  <c r="J25" i="9"/>
  <c r="J37" i="9" s="1"/>
  <c r="M29" i="21" s="1"/>
  <c r="K106" i="9"/>
  <c r="N110" i="21" s="1"/>
  <c r="J118" i="9"/>
  <c r="J120" i="9" s="1"/>
  <c r="K111" i="9"/>
  <c r="N116" i="21" s="1"/>
  <c r="J119" i="9"/>
  <c r="J121" i="9" s="1"/>
  <c r="M89" i="21" l="1"/>
  <c r="J122" i="9"/>
  <c r="J35" i="9" s="1"/>
  <c r="J28" i="9"/>
  <c r="K27" i="9" s="1"/>
  <c r="K134" i="9"/>
  <c r="N113" i="21" s="1"/>
  <c r="K55" i="9"/>
  <c r="K135" i="9"/>
  <c r="K59" i="9"/>
  <c r="N63" i="21" l="1"/>
  <c r="N119" i="21"/>
  <c r="M27" i="21"/>
  <c r="M30" i="21" s="1"/>
  <c r="M87" i="21"/>
  <c r="M90" i="21" s="1"/>
  <c r="K136" i="9"/>
  <c r="N64" i="21" s="1"/>
  <c r="K138" i="9"/>
  <c r="K21" i="9" s="1"/>
  <c r="J123" i="9"/>
  <c r="K137" i="9"/>
  <c r="N65" i="21" s="1"/>
  <c r="J38" i="9"/>
  <c r="N66" i="21" l="1"/>
  <c r="N21" i="21" s="1"/>
  <c r="K17" i="9"/>
  <c r="N59" i="21" s="1"/>
  <c r="N62" i="21" s="1"/>
  <c r="N20" i="21" l="1"/>
  <c r="N70" i="21"/>
  <c r="N45" i="21" s="1"/>
  <c r="N69" i="21"/>
  <c r="N44" i="21" s="1"/>
  <c r="N72" i="21"/>
  <c r="K20" i="9"/>
  <c r="K23" i="9" s="1"/>
  <c r="K146" i="9" s="1"/>
  <c r="K147" i="9" l="1"/>
  <c r="K97" i="9" s="1"/>
  <c r="N105" i="21" s="1"/>
  <c r="K149" i="9" l="1"/>
  <c r="K150" i="9" s="1"/>
  <c r="K152" i="9" s="1"/>
  <c r="K153" i="9" s="1"/>
  <c r="K48" i="9"/>
  <c r="K98" i="9"/>
  <c r="K49" i="9" l="1"/>
  <c r="N33" i="21"/>
  <c r="N34" i="21"/>
  <c r="N106" i="21"/>
  <c r="K107" i="9"/>
  <c r="N111" i="21" s="1"/>
  <c r="L96" i="9"/>
  <c r="O104" i="21" s="1"/>
  <c r="K117" i="9"/>
  <c r="K102" i="9"/>
  <c r="N99" i="21" s="1"/>
  <c r="K156" i="9"/>
  <c r="K157" i="9" s="1"/>
  <c r="K52" i="9" l="1"/>
  <c r="K103" i="9"/>
  <c r="L47" i="9"/>
  <c r="L133" i="9"/>
  <c r="O107" i="21" s="1"/>
  <c r="K112" i="9"/>
  <c r="N117" i="21" s="1"/>
  <c r="N118" i="21" s="1"/>
  <c r="K24" i="9"/>
  <c r="N73" i="21" s="1"/>
  <c r="K56" i="9"/>
  <c r="K108" i="9"/>
  <c r="K57" i="9" l="1"/>
  <c r="N37" i="21"/>
  <c r="K53" i="9"/>
  <c r="N35" i="21"/>
  <c r="N38" i="21"/>
  <c r="N112" i="21"/>
  <c r="N22" i="21"/>
  <c r="N23" i="21" s="1"/>
  <c r="N74" i="21"/>
  <c r="N36" i="21"/>
  <c r="N100" i="21"/>
  <c r="K25" i="9"/>
  <c r="K37" i="9" s="1"/>
  <c r="N29" i="21" s="1"/>
  <c r="L101" i="9"/>
  <c r="O98" i="21" s="1"/>
  <c r="K116" i="9"/>
  <c r="K60" i="9"/>
  <c r="K118" i="9"/>
  <c r="L106" i="9"/>
  <c r="O110" i="21" s="1"/>
  <c r="K113" i="9"/>
  <c r="N40" i="21" s="1"/>
  <c r="K61" i="9" l="1"/>
  <c r="N39" i="21"/>
  <c r="N89" i="21"/>
  <c r="N41" i="21"/>
  <c r="N68" i="21" s="1"/>
  <c r="N43" i="21" s="1"/>
  <c r="K120" i="9"/>
  <c r="K28" i="9"/>
  <c r="L27" i="9" s="1"/>
  <c r="L111" i="9"/>
  <c r="O116" i="21" s="1"/>
  <c r="K119" i="9"/>
  <c r="K121" i="9" s="1"/>
  <c r="L132" i="9"/>
  <c r="O101" i="21" s="1"/>
  <c r="L51" i="9"/>
  <c r="L55" i="9"/>
  <c r="L134" i="9"/>
  <c r="O113" i="21" s="1"/>
  <c r="K122" i="9" l="1"/>
  <c r="K35" i="9" s="1"/>
  <c r="L136" i="9"/>
  <c r="O64" i="21" s="1"/>
  <c r="L135" i="9"/>
  <c r="L59" i="9"/>
  <c r="K123" i="9" l="1"/>
  <c r="N27" i="21"/>
  <c r="N30" i="21" s="1"/>
  <c r="N87" i="21"/>
  <c r="N90" i="21" s="1"/>
  <c r="O63" i="21"/>
  <c r="O119" i="21"/>
  <c r="L137" i="9"/>
  <c r="O65" i="21" s="1"/>
  <c r="L138" i="9"/>
  <c r="K38" i="9"/>
  <c r="O66" i="21" l="1"/>
  <c r="O21" i="21" s="1"/>
  <c r="L17" i="9"/>
  <c r="O59" i="21" s="1"/>
  <c r="O62" i="21" s="1"/>
  <c r="L21" i="9"/>
  <c r="O72" i="21" l="1"/>
  <c r="O20" i="21"/>
  <c r="O70" i="21"/>
  <c r="O45" i="21" s="1"/>
  <c r="O69" i="21"/>
  <c r="O44" i="21" s="1"/>
  <c r="L20" i="9"/>
  <c r="L23" i="9" s="1"/>
  <c r="L146" i="9" l="1"/>
  <c r="L147" i="9" l="1"/>
  <c r="L97" i="9" s="1"/>
  <c r="O105" i="21" s="1"/>
  <c r="L149" i="9" l="1"/>
  <c r="L150" i="9" s="1"/>
  <c r="L152" i="9" s="1"/>
  <c r="L153" i="9" s="1"/>
  <c r="L48" i="9"/>
  <c r="L98" i="9"/>
  <c r="L49" i="9" l="1"/>
  <c r="O33" i="21"/>
  <c r="O34" i="21"/>
  <c r="O106" i="21"/>
  <c r="L107" i="9"/>
  <c r="O111" i="21" s="1"/>
  <c r="L117" i="9"/>
  <c r="L102" i="9"/>
  <c r="O99" i="21" s="1"/>
  <c r="L156" i="9"/>
  <c r="L157" i="9" s="1"/>
  <c r="L112" i="9" s="1"/>
  <c r="O117" i="21" s="1"/>
  <c r="O118" i="21" s="1"/>
  <c r="L60" i="9" l="1"/>
  <c r="L113" i="9"/>
  <c r="O40" i="21" s="1"/>
  <c r="L52" i="9"/>
  <c r="L103" i="9"/>
  <c r="L24" i="9"/>
  <c r="O73" i="21" s="1"/>
  <c r="L56" i="9"/>
  <c r="L108" i="9"/>
  <c r="L53" i="9" l="1"/>
  <c r="O35" i="21"/>
  <c r="L57" i="9"/>
  <c r="O37" i="21"/>
  <c r="L61" i="9"/>
  <c r="O39" i="21"/>
  <c r="O112" i="21"/>
  <c r="O38" i="21"/>
  <c r="O36" i="21"/>
  <c r="O100" i="21"/>
  <c r="O22" i="21"/>
  <c r="O23" i="21" s="1"/>
  <c r="O74" i="21"/>
  <c r="L25" i="9"/>
  <c r="L37" i="9" s="1"/>
  <c r="O29" i="21" s="1"/>
  <c r="L119" i="9"/>
  <c r="L121" i="9" s="1"/>
  <c r="L118" i="9"/>
  <c r="L116" i="9"/>
  <c r="O41" i="21" l="1"/>
  <c r="O68" i="21" s="1"/>
  <c r="O43" i="21" s="1"/>
  <c r="O89" i="21"/>
  <c r="L120" i="9"/>
  <c r="L122" i="9" s="1"/>
  <c r="L35" i="9" s="1"/>
  <c r="L28" i="9"/>
  <c r="O27" i="21" l="1"/>
  <c r="O30" i="21" s="1"/>
  <c r="O87" i="21"/>
  <c r="O90" i="21" s="1"/>
  <c r="L123" i="9"/>
  <c r="L38" i="9"/>
  <c r="F39" i="9" s="1"/>
  <c r="G30" i="21" l="1"/>
  <c r="C90" i="21"/>
</calcChain>
</file>

<file path=xl/sharedStrings.xml><?xml version="1.0" encoding="utf-8"?>
<sst xmlns="http://schemas.openxmlformats.org/spreadsheetml/2006/main" count="1074" uniqueCount="632">
  <si>
    <t>Fair Value Share Price</t>
  </si>
  <si>
    <t>WACC</t>
  </si>
  <si>
    <t>Shares outstanding</t>
  </si>
  <si>
    <t>Target gearing</t>
  </si>
  <si>
    <t>Equity Value (Market Cap)</t>
  </si>
  <si>
    <t>After Tax Cost of Debt</t>
  </si>
  <si>
    <t>Cash</t>
  </si>
  <si>
    <t>Tax rate</t>
  </si>
  <si>
    <t>Debt</t>
  </si>
  <si>
    <t>Cost of debt</t>
  </si>
  <si>
    <t>Enterprise Value</t>
  </si>
  <si>
    <t>CAPM Cost of Equity</t>
  </si>
  <si>
    <t>Present value of forecast FCF</t>
  </si>
  <si>
    <t>Beta</t>
  </si>
  <si>
    <t>Present value of terminal value</t>
  </si>
  <si>
    <t>Market risk premium</t>
  </si>
  <si>
    <t>Terminal year Revenue</t>
  </si>
  <si>
    <t>Expected market return</t>
  </si>
  <si>
    <t>Revenue muliple</t>
  </si>
  <si>
    <t>10-yr US government bond rate</t>
  </si>
  <si>
    <t>Terminal year EBITDA</t>
  </si>
  <si>
    <t>Valuation date</t>
  </si>
  <si>
    <t xml:space="preserve">Perpetual growth of firm cash flows </t>
  </si>
  <si>
    <t>EBITDA multiple</t>
  </si>
  <si>
    <t>WACC Assumptions</t>
  </si>
  <si>
    <t>Enterprise Value Perpetual Growth Method</t>
  </si>
  <si>
    <t>Enterprise Value EBITDA Multiple Method</t>
  </si>
  <si>
    <t>Free cash flows to the firm for valuation (FCFF)</t>
  </si>
  <si>
    <t>*All dollar amounts in millions</t>
  </si>
  <si>
    <t>Cashflow Forecast</t>
  </si>
  <si>
    <t>DCF Valuation Results</t>
  </si>
  <si>
    <t>DCF Summary - Valuation Results</t>
  </si>
  <si>
    <t>Check: Change in cash &amp; equivalents</t>
  </si>
  <si>
    <t xml:space="preserve"> </t>
  </si>
  <si>
    <t>Diluted shares outstanding (millions)</t>
  </si>
  <si>
    <t>Basic shares outstanding (millions)</t>
  </si>
  <si>
    <t>EBITDA / Notional Interest Expense</t>
  </si>
  <si>
    <t>Net Debt to EBITDA</t>
  </si>
  <si>
    <t>Adjusted Interest Expense (for debt sizing only)</t>
  </si>
  <si>
    <t>Ending Net Debt Balance</t>
  </si>
  <si>
    <t>Ending Debt Balance</t>
  </si>
  <si>
    <t>Ending Cash Balance</t>
  </si>
  <si>
    <t>Net Cashflows</t>
  </si>
  <si>
    <t>Dividends (incl. distributions of cash balance)</t>
  </si>
  <si>
    <t>Equity issuance / repurchase</t>
  </si>
  <si>
    <t>Cashflow Available for Equity Distributions</t>
  </si>
  <si>
    <t>Issuance / repayment of long-term debt</t>
  </si>
  <si>
    <t xml:space="preserve">Interest expense </t>
  </si>
  <si>
    <t>Free Cashflows / Cashflows for Debt Service</t>
  </si>
  <si>
    <t>Working capital and other adjustments</t>
  </si>
  <si>
    <t>DCF Summary - Financing Cashflows</t>
  </si>
  <si>
    <t>EBITDA Growth</t>
  </si>
  <si>
    <t>EBITDA Margin</t>
  </si>
  <si>
    <t>Total EBIT Growth</t>
  </si>
  <si>
    <t>Total EBIT Margin</t>
  </si>
  <si>
    <t>Total Revenue Growth</t>
  </si>
  <si>
    <t>DCF Summary - Segmented Operating Metrics</t>
  </si>
  <si>
    <t>EBITDA growth</t>
  </si>
  <si>
    <t>EBITDA margin</t>
  </si>
  <si>
    <t>EBITDA</t>
  </si>
  <si>
    <t>EBIT growth</t>
  </si>
  <si>
    <t>EBIT margin</t>
  </si>
  <si>
    <t>Total EBIT</t>
  </si>
  <si>
    <t>Revenue growth</t>
  </si>
  <si>
    <t>Total Revenues</t>
  </si>
  <si>
    <t>DCF Summary - Operating Cashflows</t>
  </si>
  <si>
    <t>Check: A = L + E</t>
  </si>
  <si>
    <t>Total Liabilities &amp; Shareholders Equity</t>
    <phoneticPr fontId="0" type="noConversion"/>
  </si>
  <si>
    <t>Total Shareholders' Equity</t>
    <phoneticPr fontId="0" type="noConversion"/>
  </si>
  <si>
    <t>Retained earnings (accumulated deficit)</t>
  </si>
  <si>
    <t>Other comprehensive income</t>
  </si>
  <si>
    <t>Total Liabilities</t>
    <phoneticPr fontId="0" type="noConversion"/>
  </si>
  <si>
    <t>Other non-current liabilities</t>
  </si>
  <si>
    <t>Credit facility for long-term cash balance</t>
  </si>
  <si>
    <t>Long term debt</t>
  </si>
  <si>
    <t>Total Current Liabilities</t>
  </si>
  <si>
    <t>Accounts payable</t>
  </si>
  <si>
    <t>Liabilities &amp; Shareholders Equity</t>
  </si>
  <si>
    <t>Total Assets</t>
  </si>
  <si>
    <t>Other assets</t>
  </si>
  <si>
    <t>PPE (net)</t>
  </si>
  <si>
    <t>Total Current Assets</t>
  </si>
  <si>
    <t xml:space="preserve">Inventories </t>
  </si>
  <si>
    <t>Short-term investments</t>
  </si>
  <si>
    <t>Cash &amp; equivalents</t>
  </si>
  <si>
    <t>Current Assets</t>
  </si>
  <si>
    <t>Assets</t>
  </si>
  <si>
    <t>Historical and Projected Balance Sheet Statement</t>
  </si>
  <si>
    <t>Check Cash</t>
  </si>
  <si>
    <t>Ending cash balance</t>
  </si>
  <si>
    <t>Change in cash &amp; equivalents</t>
  </si>
  <si>
    <t>Beginning cash balance</t>
  </si>
  <si>
    <t>FX Effects</t>
  </si>
  <si>
    <t>Cash Flow from Financing Activities</t>
  </si>
  <si>
    <t>Other</t>
  </si>
  <si>
    <t>Issuance of long-term debt</t>
  </si>
  <si>
    <t>Dividends paid</t>
  </si>
  <si>
    <t>Funds From Financing Activities</t>
  </si>
  <si>
    <t>Cash flows available for debt repayment</t>
  </si>
  <si>
    <t>Cash Flow from Investing Activities</t>
  </si>
  <si>
    <t>Purchases of PPE</t>
  </si>
  <si>
    <t>Funds From Investing Activities</t>
  </si>
  <si>
    <t>Cash Flow from Operating Activities</t>
  </si>
  <si>
    <t>Change in working capital</t>
  </si>
  <si>
    <t>Funds from operations</t>
  </si>
  <si>
    <t>Deferred taxes</t>
  </si>
  <si>
    <t>Other non-cash</t>
  </si>
  <si>
    <t>Stock-based compensation and tax benefits</t>
  </si>
  <si>
    <t>Net income (loss)</t>
  </si>
  <si>
    <t>Funds From Operating Activities</t>
  </si>
  <si>
    <t>Historical and Projected Cash Flow Statement</t>
  </si>
  <si>
    <t xml:space="preserve">Equity cashflow per share (diluted including debt drawdowns) </t>
  </si>
  <si>
    <t>Dividend per share (diluted)</t>
  </si>
  <si>
    <t>Diluted adjusted earnings (loss) per share</t>
  </si>
  <si>
    <t>Diluted shares outstanding</t>
  </si>
  <si>
    <t>Basic shares outstanding</t>
  </si>
  <si>
    <t>Earnings before taxes</t>
  </si>
  <si>
    <t>Interest expense</t>
  </si>
  <si>
    <t>Adjusted EBITDA</t>
  </si>
  <si>
    <t>Add: Stock-based compensation</t>
  </si>
  <si>
    <t>Total COGS</t>
  </si>
  <si>
    <t>($ in millions of U.S. dollars except per share amounts)</t>
  </si>
  <si>
    <t>Historical and Projected Income Statement</t>
  </si>
  <si>
    <t>[input]</t>
  </si>
  <si>
    <t>[mm]</t>
  </si>
  <si>
    <t>[%]</t>
  </si>
  <si>
    <t>Stock-based compensation % of revenues</t>
  </si>
  <si>
    <t>Other Income Statement Assumptions</t>
  </si>
  <si>
    <t>[calc]</t>
  </si>
  <si>
    <t>[$mm]</t>
  </si>
  <si>
    <t>PP&amp;E ending balance (net)</t>
  </si>
  <si>
    <t>Adjustments to PPE</t>
  </si>
  <si>
    <t>Depreciation</t>
  </si>
  <si>
    <t>PP&amp;E beginning balance (net)</t>
  </si>
  <si>
    <t xml:space="preserve">[calc] </t>
  </si>
  <si>
    <t>Depreciation as % of beginning balance</t>
  </si>
  <si>
    <t>PP&amp;E, Depreciation and Capex Assumptions</t>
  </si>
  <si>
    <t>Net Working Capital as % of revenue</t>
  </si>
  <si>
    <t>Net Working Capital</t>
  </si>
  <si>
    <t>Other current assets</t>
  </si>
  <si>
    <t>Inventories</t>
  </si>
  <si>
    <t>Adjusted EBIT Margin</t>
  </si>
  <si>
    <t>Total Adjusted EBIT</t>
  </si>
  <si>
    <t>EBIT as % of Revenue</t>
  </si>
  <si>
    <r>
      <t xml:space="preserve">EBIT </t>
    </r>
    <r>
      <rPr>
        <sz val="8"/>
        <rFont val="Arial"/>
        <family val="2"/>
      </rPr>
      <t>[for reference only]</t>
    </r>
  </si>
  <si>
    <t>As a % of Revenue</t>
  </si>
  <si>
    <t>SG&amp;A</t>
  </si>
  <si>
    <t>COGS</t>
  </si>
  <si>
    <t xml:space="preserve">Costs &amp; Working Capital Forecast Model </t>
  </si>
  <si>
    <t>Growth rate</t>
  </si>
  <si>
    <t xml:space="preserve">Total revenues </t>
  </si>
  <si>
    <t>% of Total Revenues</t>
  </si>
  <si>
    <t>Revenue Forecast Model by Segment</t>
  </si>
  <si>
    <t>[year]</t>
  </si>
  <si>
    <t>Last projected period in model</t>
  </si>
  <si>
    <t>First historic period in model</t>
  </si>
  <si>
    <t>Current period</t>
  </si>
  <si>
    <t>Most recent period</t>
  </si>
  <si>
    <t>[date]</t>
  </si>
  <si>
    <t>Last projected reporting date in model</t>
  </si>
  <si>
    <t>First historic reporting date in model</t>
  </si>
  <si>
    <t xml:space="preserve">Next reporting date </t>
  </si>
  <si>
    <t>Most recent reporting date</t>
  </si>
  <si>
    <t>[#]</t>
  </si>
  <si>
    <t>Thousands</t>
  </si>
  <si>
    <t>Months per year</t>
  </si>
  <si>
    <t>Number of forecasted periods in model</t>
  </si>
  <si>
    <t>Number of historical periods in model</t>
  </si>
  <si>
    <t>Days per period</t>
  </si>
  <si>
    <t>Months per period</t>
  </si>
  <si>
    <t>Periodicity</t>
  </si>
  <si>
    <t>Present value date</t>
  </si>
  <si>
    <t>Type</t>
  </si>
  <si>
    <t>Unit</t>
  </si>
  <si>
    <t>Projected Fiscal Years Ending December 31</t>
  </si>
  <si>
    <t>Model Timing Assumptions</t>
  </si>
  <si>
    <t>Retained earnings end of year</t>
  </si>
  <si>
    <t>Adjustment</t>
  </si>
  <si>
    <t>[input, calc]</t>
  </si>
  <si>
    <t>Dividends</t>
  </si>
  <si>
    <t xml:space="preserve">GAAP Net income </t>
  </si>
  <si>
    <t>Retained earnings beginning of year</t>
  </si>
  <si>
    <t>Common Stock &amp; Paid-in Capital (Ending Balance)</t>
  </si>
  <si>
    <t>Adjustments and stock compensation</t>
  </si>
  <si>
    <t>[calc, input]</t>
  </si>
  <si>
    <t>Equity repurchase</t>
  </si>
  <si>
    <t>Equity issuance</t>
  </si>
  <si>
    <t>Common stock &amp; paid-in capital (beginning balance)</t>
  </si>
  <si>
    <t xml:space="preserve">Common Equity and Retained Earnings </t>
  </si>
  <si>
    <t>Dividends Paid</t>
  </si>
  <si>
    <t>Dividends % of Cashflows Available</t>
  </si>
  <si>
    <t>Total Cashflows Available for Dividends</t>
  </si>
  <si>
    <t>Equity Issuance (Repurchase)</t>
  </si>
  <si>
    <t>Cashflows for Equity</t>
  </si>
  <si>
    <t>Cashflow after Debt Drawdown and Repayment</t>
  </si>
  <si>
    <t>Interest Expense for Additional Debt Drawn</t>
  </si>
  <si>
    <t>Debt Repayment</t>
  </si>
  <si>
    <t xml:space="preserve">Debt Issuance for Leverage Target </t>
  </si>
  <si>
    <t>Debt Issuance for Min Cash Balance</t>
  </si>
  <si>
    <t>Excess Funds above Min Cash Balance</t>
  </si>
  <si>
    <t>Required Funding to Maintain Min Cash Balance</t>
  </si>
  <si>
    <t>Cash at beginning of period</t>
  </si>
  <si>
    <t>Cashflow for Debt Drawdown for Min Cash Balance</t>
  </si>
  <si>
    <t>Scheduled Debt Repayment</t>
  </si>
  <si>
    <t>Other items</t>
  </si>
  <si>
    <t>Cashflow available for Debt Service</t>
  </si>
  <si>
    <t>Less: Working Capital &amp; Other Adjustments</t>
  </si>
  <si>
    <t xml:space="preserve">Less: Estimated Taxes </t>
  </si>
  <si>
    <t>Less: Capital Expenditures</t>
  </si>
  <si>
    <t>Less: Income Statement Adjustments</t>
  </si>
  <si>
    <t>Less: Interest Expense on Opening and Drawdown for Leverage</t>
  </si>
  <si>
    <t xml:space="preserve">Adjusted EBITDA </t>
  </si>
  <si>
    <t>Cashflows Available for Period</t>
  </si>
  <si>
    <t>Cashflows Available for Equity</t>
  </si>
  <si>
    <r>
      <rPr>
        <vertAlign val="superscript"/>
        <sz val="8"/>
        <rFont val="Arial"/>
        <family val="2"/>
      </rPr>
      <t xml:space="preserve">4 </t>
    </r>
    <r>
      <rPr>
        <sz val="8"/>
        <rFont val="Arial"/>
        <family val="2"/>
      </rPr>
      <t>Residual cash remaining in the system is determined by the dividend payout ratio in the below section</t>
    </r>
  </si>
  <si>
    <r>
      <rPr>
        <vertAlign val="superscript"/>
        <sz val="8"/>
        <rFont val="Arial"/>
        <family val="2"/>
      </rPr>
      <t>3</t>
    </r>
    <r>
      <rPr>
        <sz val="8"/>
        <rFont val="Arial"/>
        <family val="2"/>
      </rPr>
      <t xml:space="preserve"> The input for sizing the target debt amount is Net Debt / EBITDA, which is common, although for Netflix other metrics should be evaluated in conjunction with setting a Nebt Debt / EBITDA target</t>
    </r>
  </si>
  <si>
    <r>
      <rPr>
        <vertAlign val="superscript"/>
        <sz val="8"/>
        <rFont val="Arial"/>
        <family val="2"/>
      </rPr>
      <t>2</t>
    </r>
    <r>
      <rPr>
        <sz val="8"/>
        <rFont val="Arial"/>
        <family val="2"/>
      </rPr>
      <t xml:space="preserve"> Subject to funding any operating deficits to prevent the cash balance from turning negative, this section calculates how much debt would need to be drawn or repaid in order to achieve the targeteted debt metric</t>
    </r>
  </si>
  <si>
    <r>
      <rPr>
        <vertAlign val="superscript"/>
        <sz val="8"/>
        <rFont val="Arial"/>
        <family val="2"/>
      </rPr>
      <t>1</t>
    </r>
    <r>
      <rPr>
        <sz val="8"/>
        <rFont val="Arial"/>
        <family val="2"/>
      </rPr>
      <t xml:space="preserve"> Any shortfall in operating cashflows that would cause the cash balance to dip below zerio will automatically be funded by additional draws on the credit facility</t>
    </r>
  </si>
  <si>
    <t>Target Debt Ending Balance</t>
  </si>
  <si>
    <t xml:space="preserve">Use debt cap?      </t>
  </si>
  <si>
    <t>Target Debt Cap</t>
  </si>
  <si>
    <t>Interest Expense (on average balance for  debt sizing)</t>
  </si>
  <si>
    <t>Net Debt</t>
  </si>
  <si>
    <t>Adjusted EBITDA / Interest Expense for Debt Sizing (Output)</t>
  </si>
  <si>
    <t>Net Debt / Adjusted EBITDA (Output)</t>
  </si>
  <si>
    <t>EBITDA / Interest Expense for Debt Sizing (Output)</t>
  </si>
  <si>
    <t>Net Debt / EBITDA (Output)</t>
  </si>
  <si>
    <t>[times]</t>
  </si>
  <si>
    <r>
      <t>Net Debt / EBITDA (Input)</t>
    </r>
    <r>
      <rPr>
        <vertAlign val="superscript"/>
        <sz val="8"/>
        <rFont val="Arial"/>
        <family val="2"/>
      </rPr>
      <t>1,2,3,4</t>
    </r>
  </si>
  <si>
    <t xml:space="preserve">Sizing of Debt Drawdown </t>
  </si>
  <si>
    <t>Target Debt Sizing</t>
  </si>
  <si>
    <r>
      <rPr>
        <vertAlign val="superscript"/>
        <sz val="8"/>
        <rFont val="Arial"/>
        <family val="2"/>
      </rPr>
      <t xml:space="preserve">2 </t>
    </r>
    <r>
      <rPr>
        <sz val="8"/>
        <rFont val="Arial"/>
        <family val="2"/>
      </rPr>
      <t xml:space="preserve">The credit facility is modeled as revolver to achieve target debt balance with no current portion of maturing debt  </t>
    </r>
  </si>
  <si>
    <r>
      <rPr>
        <vertAlign val="superscript"/>
        <sz val="8"/>
        <rFont val="Arial"/>
        <family val="2"/>
      </rPr>
      <t xml:space="preserve">1 </t>
    </r>
    <r>
      <rPr>
        <sz val="8"/>
        <rFont val="Arial"/>
        <family val="2"/>
      </rPr>
      <t xml:space="preserve">To avoid need for macros to break iteration, interest expense is approximated based on opening account balances; interest expense should be estimated based on a blended interest rate </t>
    </r>
  </si>
  <si>
    <t>Total Interest Expense on Debt</t>
  </si>
  <si>
    <t>Interest Expense on Opening and Drawdowns for Leverage Target</t>
  </si>
  <si>
    <t>Interest Rate on Drawn Amount</t>
  </si>
  <si>
    <r>
      <t>Revolver Amount Outstanding (Ending)</t>
    </r>
    <r>
      <rPr>
        <vertAlign val="superscript"/>
        <sz val="8"/>
        <rFont val="Arial"/>
        <family val="2"/>
      </rPr>
      <t>2</t>
    </r>
  </si>
  <si>
    <t>Repayments for Leverage Target</t>
  </si>
  <si>
    <t>Drawings for Leverage Target</t>
  </si>
  <si>
    <t>Drawings for Min Cash Balance</t>
  </si>
  <si>
    <t>Facility Amount Outstanding (Beginning)</t>
  </si>
  <si>
    <t>B. Credit Facility for Target Debt Balance</t>
  </si>
  <si>
    <t>Interest Rate (approximation)</t>
  </si>
  <si>
    <r>
      <t>Interest Expense</t>
    </r>
    <r>
      <rPr>
        <vertAlign val="superscript"/>
        <sz val="8"/>
        <rFont val="Arial"/>
        <family val="2"/>
      </rPr>
      <t>1</t>
    </r>
  </si>
  <si>
    <t>Long-Term Debt Outstanding (Ending)</t>
  </si>
  <si>
    <t>Scheduled Repayments</t>
  </si>
  <si>
    <t xml:space="preserve">New Debt Issued </t>
  </si>
  <si>
    <t>Long-Term Debt Outstanding (Beginning)</t>
  </si>
  <si>
    <t>A. Existing Scheduled Debt Facilities</t>
  </si>
  <si>
    <t xml:space="preserve">EBITDA </t>
  </si>
  <si>
    <t xml:space="preserve">Total Interest Expense </t>
  </si>
  <si>
    <t>Debt Metrics Summary</t>
  </si>
  <si>
    <t>Ending Debt Outstanding</t>
  </si>
  <si>
    <t>Repayments</t>
  </si>
  <si>
    <t>New Additions</t>
  </si>
  <si>
    <t>Beginning Debt Outstanding</t>
  </si>
  <si>
    <t>Total Debt Outstanding Summary</t>
  </si>
  <si>
    <t>Debt Drawdown and Repayment Summary</t>
  </si>
  <si>
    <t>PV Free Cash Flows to the Firm (FCFF)</t>
  </si>
  <si>
    <t>Discount factor</t>
  </si>
  <si>
    <t>Cost of capital</t>
  </si>
  <si>
    <t>Years to discount</t>
  </si>
  <si>
    <t>Free cash flows to the firm (FCFF)</t>
  </si>
  <si>
    <t>Free Cash Flows</t>
  </si>
  <si>
    <t>Projected Fiscal Years Ending March 31</t>
  </si>
  <si>
    <t>Free Cashflow Valuation</t>
  </si>
  <si>
    <t>Net debt</t>
  </si>
  <si>
    <t>Next Year End Date</t>
  </si>
  <si>
    <t>Cash (hardcode as of valuation date)</t>
  </si>
  <si>
    <t>Valuation Date</t>
  </si>
  <si>
    <t>Debt (hardcode as of valuation date)</t>
  </si>
  <si>
    <t>Perpetual growth of firm cash flows (post year 5)</t>
  </si>
  <si>
    <t>Forecast period as % of total value</t>
  </si>
  <si>
    <t>Terminal value as % of total value</t>
  </si>
  <si>
    <t>After Tax Cost Of Debt</t>
  </si>
  <si>
    <t>Terminal value</t>
  </si>
  <si>
    <t>Last forecast Revenue</t>
  </si>
  <si>
    <t>CAPM Cost Of Equity</t>
  </si>
  <si>
    <t>Revenue Multiple</t>
  </si>
  <si>
    <t>Last forecast EBITDA</t>
  </si>
  <si>
    <t xml:space="preserve">Terminal value </t>
  </si>
  <si>
    <t>[1=EV/EBITDA; 0=EV/Revenue]</t>
  </si>
  <si>
    <t>EBITDA Multiple</t>
  </si>
  <si>
    <t>Grown TV FCFF</t>
  </si>
  <si>
    <t>FCFF Fair Value Perpetuity Method</t>
  </si>
  <si>
    <t>Assumptions</t>
  </si>
  <si>
    <t>Exit multiple</t>
  </si>
  <si>
    <t>Perpetual growth rate</t>
  </si>
  <si>
    <t xml:space="preserve">Cost of debt (pre-tax) </t>
  </si>
  <si>
    <t xml:space="preserve">Risk-free rate </t>
  </si>
  <si>
    <t xml:space="preserve">Justification </t>
  </si>
  <si>
    <t xml:space="preserve">Key Metric </t>
  </si>
  <si>
    <t>Valuation Assumptions</t>
  </si>
  <si>
    <t>Operating Assumptions</t>
  </si>
  <si>
    <t>\</t>
  </si>
  <si>
    <t>Accounts receivable</t>
  </si>
  <si>
    <t>Long-term investments</t>
  </si>
  <si>
    <t>Goodwill</t>
  </si>
  <si>
    <t>Intangible assets</t>
  </si>
  <si>
    <t>Deferrred income taxes</t>
  </si>
  <si>
    <t>Accrued liabilities</t>
  </si>
  <si>
    <t>Deferred income taxes</t>
  </si>
  <si>
    <t>Long-term income taxes payable</t>
  </si>
  <si>
    <t>Provision for income taxes</t>
  </si>
  <si>
    <t>Provision for bad debt</t>
  </si>
  <si>
    <t>Integration and restructuring activities</t>
  </si>
  <si>
    <t>Acquisitions, net of cash acquired</t>
  </si>
  <si>
    <t>Repurchase of common stock</t>
  </si>
  <si>
    <t>Debt issuance costs</t>
  </si>
  <si>
    <t>Proceeds from share-based awards</t>
  </si>
  <si>
    <t>Borrowings under revolving credit facility</t>
  </si>
  <si>
    <t>Repayment of revolving credit facility</t>
  </si>
  <si>
    <t>Issuance of common stock</t>
  </si>
  <si>
    <t>Depreciation of PP&amp;E</t>
  </si>
  <si>
    <t>Add: Integration and restructuring activities</t>
  </si>
  <si>
    <t>Coach revenues</t>
  </si>
  <si>
    <t>Kate Spade revenues</t>
  </si>
  <si>
    <t>Stuart Weizman revenues</t>
  </si>
  <si>
    <t>Corporate SG&amp;A</t>
  </si>
  <si>
    <t>Coach COGS</t>
  </si>
  <si>
    <t>Kate Spade COGS</t>
  </si>
  <si>
    <t>Stuart Weizman COGS</t>
  </si>
  <si>
    <t>Coach SG&amp;A</t>
  </si>
  <si>
    <t>Kate Spade SG&amp;A</t>
  </si>
  <si>
    <t>Stuart Weizman SG&amp;A</t>
  </si>
  <si>
    <t>Coach EBIT</t>
  </si>
  <si>
    <t>Kate Spade EBIT</t>
  </si>
  <si>
    <t>Stuart Weizman EBIT</t>
  </si>
  <si>
    <t>Add: Total D&amp;A</t>
  </si>
  <si>
    <t xml:space="preserve">Total EBITDA </t>
  </si>
  <si>
    <t>Repayment of long-term debt</t>
  </si>
  <si>
    <t>Total SG&amp;A</t>
  </si>
  <si>
    <t>Other adjustments to income</t>
  </si>
  <si>
    <t>Coach Revenues</t>
  </si>
  <si>
    <t>Kate Spade Revenues</t>
  </si>
  <si>
    <t>Stuart Weizman Revenues</t>
  </si>
  <si>
    <t>Capex as % of revenues [not in use]</t>
  </si>
  <si>
    <t>Depreciation as % of sales</t>
  </si>
  <si>
    <t>Less: Target Cash Balance (negative)</t>
  </si>
  <si>
    <t>US treasury</t>
  </si>
  <si>
    <r>
      <t xml:space="preserve">Kate Spade EBIT Margin
</t>
    </r>
    <r>
      <rPr>
        <i/>
        <sz val="8"/>
        <color rgb="FF262626"/>
        <rFont val="Helvetica"/>
        <family val="2"/>
      </rPr>
      <t>(Avg '19-'26)</t>
    </r>
  </si>
  <si>
    <r>
      <t xml:space="preserve">Coach EBIT Margin
</t>
    </r>
    <r>
      <rPr>
        <i/>
        <sz val="8"/>
        <color rgb="FF262626"/>
        <rFont val="Helvetica"/>
        <family val="2"/>
      </rPr>
      <t>(Avg '19-'26)</t>
    </r>
  </si>
  <si>
    <r>
      <t xml:space="preserve">Stuart Weizman EBIT Margin
</t>
    </r>
    <r>
      <rPr>
        <i/>
        <sz val="8"/>
        <color rgb="FF262626"/>
        <rFont val="Helvetica"/>
        <family val="2"/>
      </rPr>
      <t>(Avg '19-'26)</t>
    </r>
  </si>
  <si>
    <r>
      <t xml:space="preserve">Total EBITDA Margin
</t>
    </r>
    <r>
      <rPr>
        <i/>
        <sz val="8"/>
        <color rgb="FF262626"/>
        <rFont val="Helvetica"/>
        <family val="2"/>
      </rPr>
      <t>(Avg '19-'26)</t>
    </r>
  </si>
  <si>
    <t>Company Name</t>
  </si>
  <si>
    <t>[name]</t>
  </si>
  <si>
    <t>Tapestry</t>
  </si>
  <si>
    <t>Coach Revenue Growth</t>
  </si>
  <si>
    <t>Kate Spade Revenue Growth</t>
  </si>
  <si>
    <t>Stuart Weizman Revenue Growth</t>
  </si>
  <si>
    <t>Coach % of Total Revenues</t>
  </si>
  <si>
    <t>Kate Spade % of Total Revenues</t>
  </si>
  <si>
    <t>Stuart Weizman % of Total Revenues</t>
  </si>
  <si>
    <t>Coach EBIT Margin</t>
  </si>
  <si>
    <t>Kate Spade EBIT Margin</t>
  </si>
  <si>
    <t>Stuart Weizman EBIT Margin</t>
  </si>
  <si>
    <t>Coach EBIT Growth</t>
  </si>
  <si>
    <t>Kate Spade EBIT Growth</t>
  </si>
  <si>
    <t>Sturat Weizman EBIT Growth</t>
  </si>
  <si>
    <t>Side Calculations</t>
  </si>
  <si>
    <t>Sale (purchase) of investments</t>
  </si>
  <si>
    <t>Other working capital cash adjustments</t>
  </si>
  <si>
    <t>Less: Acquisitions</t>
  </si>
  <si>
    <t>Acquisitions</t>
  </si>
  <si>
    <t xml:space="preserve">Sale (Purchase) of Investments </t>
  </si>
  <si>
    <t>Other financing cash adjustments</t>
  </si>
  <si>
    <t>Excess cash balance for dividend (beginning of period)</t>
  </si>
  <si>
    <t>Less: Tax (EBIT * Tax Rate)</t>
  </si>
  <si>
    <t>Comparisons</t>
  </si>
  <si>
    <r>
      <t xml:space="preserve">Total EBIT Margin
</t>
    </r>
    <r>
      <rPr>
        <i/>
        <sz val="8"/>
        <color rgb="FF262626"/>
        <rFont val="Helvetica"/>
        <family val="2"/>
      </rPr>
      <t>(Avg '19-'26)</t>
    </r>
  </si>
  <si>
    <t>CAGR/Avg</t>
  </si>
  <si>
    <t>Long-Term</t>
  </si>
  <si>
    <r>
      <t>Capex (% of revenue)
(</t>
    </r>
    <r>
      <rPr>
        <i/>
        <sz val="8"/>
        <color rgb="FF262626"/>
        <rFont val="Helvetica"/>
        <family val="2"/>
      </rPr>
      <t>Avg '19-'26)</t>
    </r>
  </si>
  <si>
    <r>
      <t xml:space="preserve">Total Revenue
</t>
    </r>
    <r>
      <rPr>
        <i/>
        <sz val="8"/>
        <color rgb="FF262626"/>
        <rFont val="Helvetica"/>
        <family val="2"/>
      </rPr>
      <t>(CAGR '18-'26)</t>
    </r>
  </si>
  <si>
    <r>
      <t xml:space="preserve">Coach Revenue
</t>
    </r>
    <r>
      <rPr>
        <i/>
        <sz val="8"/>
        <color rgb="FF262626"/>
        <rFont val="Helvetica"/>
        <family val="2"/>
      </rPr>
      <t>(CAGR '18-'26)</t>
    </r>
  </si>
  <si>
    <r>
      <t xml:space="preserve">Kate Spade Revenue
</t>
    </r>
    <r>
      <rPr>
        <i/>
        <sz val="8"/>
        <color rgb="FF262626"/>
        <rFont val="Helvetica"/>
        <family val="2"/>
      </rPr>
      <t>(CAGR '18-'26)</t>
    </r>
  </si>
  <si>
    <r>
      <t xml:space="preserve">Stuart Weizman Revenue
</t>
    </r>
    <r>
      <rPr>
        <i/>
        <sz val="8"/>
        <color rgb="FF262626"/>
        <rFont val="Helvetica"/>
        <family val="2"/>
      </rPr>
      <t>(CAGR '18-'26)</t>
    </r>
  </si>
  <si>
    <r>
      <t xml:space="preserve">Total EBITDA
</t>
    </r>
    <r>
      <rPr>
        <i/>
        <sz val="8"/>
        <color rgb="FF262626"/>
        <rFont val="Helvetica"/>
        <family val="2"/>
      </rPr>
      <t>(CAGR '18-'26)</t>
    </r>
  </si>
  <si>
    <t>Interest on Existing Debt</t>
  </si>
  <si>
    <t>Existing Debt Ending Balance</t>
  </si>
  <si>
    <t>Repayment</t>
  </si>
  <si>
    <t xml:space="preserve">Opening </t>
  </si>
  <si>
    <t>Existing / Assumed Debt Schedule</t>
  </si>
  <si>
    <t>Interest on Revolver Debt</t>
  </si>
  <si>
    <t>Revolver Debt Ending Balance</t>
  </si>
  <si>
    <t>Revolver</t>
  </si>
  <si>
    <t>Interest on Junior Debt</t>
  </si>
  <si>
    <t>Junior Debt Ending Balance</t>
  </si>
  <si>
    <t>Junior Debt Schedule</t>
  </si>
  <si>
    <t>Interest on Senior Debt</t>
  </si>
  <si>
    <t>Senior Debt Ending Balance</t>
  </si>
  <si>
    <t>Senior Debt Schedule</t>
  </si>
  <si>
    <t xml:space="preserve">Debt Schedules post LBO </t>
  </si>
  <si>
    <t>Cash Flows to Equity                                IRR:</t>
  </si>
  <si>
    <t>Transaction Costs (Exit)</t>
  </si>
  <si>
    <t>Residual Cashflows</t>
  </si>
  <si>
    <t>Repayment of Debt</t>
  </si>
  <si>
    <t>Excess Cash</t>
  </si>
  <si>
    <t>Sale Proceeds</t>
  </si>
  <si>
    <t xml:space="preserve">LBO Sponsor Equity </t>
  </si>
  <si>
    <t>Repayment of LBO Debt</t>
  </si>
  <si>
    <t>Junior LBO Debt Issuance</t>
  </si>
  <si>
    <t>Senior LBO Debt Issuance</t>
  </si>
  <si>
    <t>Equity Issuance for LBO</t>
  </si>
  <si>
    <t>Excess Cash on Balance Sheet</t>
  </si>
  <si>
    <t>FCF for LBO Debt Repayment</t>
  </si>
  <si>
    <t>Debt/EBITDA</t>
  </si>
  <si>
    <t>Mandatory Debt Service (Interest Expense)</t>
  </si>
  <si>
    <t>Junior LBO Debt Interest Expense</t>
  </si>
  <si>
    <t>Senior LBO Debt Interest Expense</t>
  </si>
  <si>
    <t>Interest Expense on Existing Debt</t>
  </si>
  <si>
    <t>Change in Working Capital</t>
  </si>
  <si>
    <t>Capex</t>
  </si>
  <si>
    <t>Taxes</t>
  </si>
  <si>
    <t>Revenue Growth</t>
  </si>
  <si>
    <t>Post-LBO Transaction</t>
  </si>
  <si>
    <t>Detailed LBO Cashflow Summary</t>
  </si>
  <si>
    <t>Net Equity Cashflows</t>
  </si>
  <si>
    <t>LBO Sponsor Equity</t>
  </si>
  <si>
    <t>Equity Cashflows</t>
  </si>
  <si>
    <t>Total Debt</t>
  </si>
  <si>
    <t>Outstanding Debt Balance</t>
  </si>
  <si>
    <t>Total Funds Sources</t>
  </si>
  <si>
    <t>Total Funds Uses</t>
  </si>
  <si>
    <t>Excess Balance Sheet Cash (Shortfall)</t>
  </si>
  <si>
    <t>Sponsor Equity</t>
  </si>
  <si>
    <t xml:space="preserve">   Total Debt</t>
  </si>
  <si>
    <t>Transaction Costs</t>
  </si>
  <si>
    <t>Assumed Debt</t>
  </si>
  <si>
    <t>Equity Value</t>
  </si>
  <si>
    <t>Junior Debt</t>
  </si>
  <si>
    <t>Senior Debt</t>
  </si>
  <si>
    <t>Source of Funds</t>
  </si>
  <si>
    <t>Use of Funds</t>
  </si>
  <si>
    <t>Sponsor Equity IRR</t>
  </si>
  <si>
    <t>Holding Period (Years)</t>
  </si>
  <si>
    <t>EV / EBITDA Exit Multiple</t>
  </si>
  <si>
    <t>Exit Year</t>
  </si>
  <si>
    <t>Valuation</t>
  </si>
  <si>
    <t>Total Transaction Costs</t>
  </si>
  <si>
    <t>Amount</t>
  </si>
  <si>
    <t>Rate</t>
  </si>
  <si>
    <t>Equity Purchase Price</t>
  </si>
  <si>
    <t>Equity Premium</t>
  </si>
  <si>
    <t>Offered Price</t>
  </si>
  <si>
    <t>Equity Premium (%)</t>
  </si>
  <si>
    <t>Equity Market Value</t>
  </si>
  <si>
    <t>Diluted Shares Outstanding</t>
  </si>
  <si>
    <t>Funding Requirements</t>
  </si>
  <si>
    <t>Min Cash Balance Required</t>
  </si>
  <si>
    <t>Pre-Transaction Cash</t>
  </si>
  <si>
    <t>Minimum Cash Balance</t>
  </si>
  <si>
    <t>Use Excess Cash (1=On, 0=Off)</t>
  </si>
  <si>
    <t>Cash Minimum (1=On, 0=Off)</t>
  </si>
  <si>
    <t>Cash Treatment</t>
  </si>
  <si>
    <t>Pay Back Priority</t>
  </si>
  <si>
    <t>Debt - Payback and Interest Rates</t>
  </si>
  <si>
    <t>Financing Assumptions</t>
  </si>
  <si>
    <t>Transaction EV</t>
  </si>
  <si>
    <t>Less: Pre-Transaction Cash</t>
  </si>
  <si>
    <t>Total Uses of Funds</t>
  </si>
  <si>
    <t>Debt Retired / Assumed</t>
  </si>
  <si>
    <t>Funds - Uses</t>
  </si>
  <si>
    <t xml:space="preserve">Total Sources of Funds </t>
  </si>
  <si>
    <t>Total Equity</t>
  </si>
  <si>
    <t>Allocation</t>
  </si>
  <si>
    <t>Seniority</t>
  </si>
  <si>
    <t>Funds - Sources</t>
  </si>
  <si>
    <t>Sources &amp; Uses of Funds</t>
  </si>
  <si>
    <t>Senior/Junior Debt</t>
  </si>
  <si>
    <t>P/E</t>
  </si>
  <si>
    <t>EV/Sales</t>
  </si>
  <si>
    <t>EV/EBITDA</t>
  </si>
  <si>
    <t>Transaction Metrics (LBO EV / Standalone Forecast)</t>
  </si>
  <si>
    <t>Transaction Summary</t>
  </si>
  <si>
    <t>Equity Premium Paid</t>
  </si>
  <si>
    <t>Optimistic</t>
  </si>
  <si>
    <t>Base</t>
  </si>
  <si>
    <t>Other Transaction Assumptions</t>
  </si>
  <si>
    <t>Operating Performance</t>
  </si>
  <si>
    <t>Assumed Debt [leave as zero]</t>
  </si>
  <si>
    <t>Revolver [leave as zero]</t>
  </si>
  <si>
    <t>Interest Rates</t>
  </si>
  <si>
    <t>Transaction Debt</t>
  </si>
  <si>
    <t>Optimstic</t>
  </si>
  <si>
    <t>Chosen Scenario</t>
  </si>
  <si>
    <t>Scenarios</t>
  </si>
  <si>
    <t>Lookup:</t>
  </si>
  <si>
    <t>Note: Interest expenses calculated on opening balances.</t>
  </si>
  <si>
    <t>Total Interest Expense</t>
  </si>
  <si>
    <t>Subordinated Interest Expense</t>
  </si>
  <si>
    <t>Senior Interest Expense</t>
  </si>
  <si>
    <t>Interest Expense</t>
  </si>
  <si>
    <t>Check</t>
  </si>
  <si>
    <t>Subordinated Debt</t>
  </si>
  <si>
    <t>Consolidated Debt Balances</t>
  </si>
  <si>
    <t>Ending Balance</t>
  </si>
  <si>
    <t>(-) Repayments</t>
  </si>
  <si>
    <t>Opening Balance</t>
  </si>
  <si>
    <t>Debt Balances post-LBO</t>
  </si>
  <si>
    <t>ID</t>
  </si>
  <si>
    <t>Rank</t>
  </si>
  <si>
    <t>Source</t>
  </si>
  <si>
    <t>Cash Available</t>
  </si>
  <si>
    <t>Payment</t>
  </si>
  <si>
    <t>Target Balance:</t>
  </si>
  <si>
    <t>Payment Flows:</t>
  </si>
  <si>
    <t>Priority</t>
  </si>
  <si>
    <t>Sponsor IRR</t>
  </si>
  <si>
    <t>Equity Cash Flows</t>
  </si>
  <si>
    <t>(-) Initial Equity Injection</t>
  </si>
  <si>
    <t>(-) Exit Transaction Costs</t>
  </si>
  <si>
    <t>(+) Residual Cash Flows</t>
  </si>
  <si>
    <t>(+) Excess Cash</t>
  </si>
  <si>
    <t>Exit Enterprise Value</t>
  </si>
  <si>
    <t>Exit Year EBITDA</t>
  </si>
  <si>
    <t>Ending Cash After Debt Repayment</t>
  </si>
  <si>
    <t>Residual Equity Cash Flows</t>
  </si>
  <si>
    <t>Net Debt Payment Flows</t>
  </si>
  <si>
    <t>Cash Available For Debt Principal Repayment</t>
  </si>
  <si>
    <t>Taxes (Net of Tax Shield)</t>
  </si>
  <si>
    <t>Beginning Cash Balance</t>
  </si>
  <si>
    <t>Cash flow Summary</t>
  </si>
  <si>
    <t xml:space="preserve">Exit Multiple </t>
  </si>
  <si>
    <t xml:space="preserve">Premium </t>
  </si>
  <si>
    <t>Chosen</t>
  </si>
  <si>
    <t>Revenue Synergies</t>
  </si>
  <si>
    <t>Incremental Revenue Synergies</t>
  </si>
  <si>
    <t>Proforma Revenue Forecast</t>
  </si>
  <si>
    <t>EBITDA Margin Synergies</t>
  </si>
  <si>
    <t>Base Revenue Synergies</t>
  </si>
  <si>
    <t>Optimistic Revenue Synergies</t>
  </si>
  <si>
    <t>Margin Synergies</t>
  </si>
  <si>
    <t>Standalone Revenues</t>
  </si>
  <si>
    <t>Standalone EBITDA Margin</t>
  </si>
  <si>
    <t>Proforma EBITDA Margin</t>
  </si>
  <si>
    <t>Incremental EBITDA Margin Synergies</t>
  </si>
  <si>
    <t>Base EBITDA Margin Synergies</t>
  </si>
  <si>
    <t>Optimistic EBITDA Margin Synergies</t>
  </si>
  <si>
    <t>Standalone EBITDA</t>
  </si>
  <si>
    <t>Proforma EBITDA Forecast</t>
  </si>
  <si>
    <t>Revenue Synergies EBITDA Contribution</t>
  </si>
  <si>
    <t>Margin Improvement EBITDA Contribution</t>
  </si>
  <si>
    <t>Debt Cashflow Waterfall</t>
  </si>
  <si>
    <t>Current Price [do not change]</t>
  </si>
  <si>
    <t>Transaction Value Pre-Transaction Costs</t>
  </si>
  <si>
    <t>Transaction Value Post-Transaction Costs</t>
  </si>
  <si>
    <t xml:space="preserve">Debt Take-Out </t>
  </si>
  <si>
    <t>Equity Take-Out</t>
  </si>
  <si>
    <t>Debt Raised</t>
  </si>
  <si>
    <t>Equity Raised</t>
  </si>
  <si>
    <t xml:space="preserve">Existing Cash Balance </t>
  </si>
  <si>
    <t>Excess Cash For Transaction</t>
  </si>
  <si>
    <t>Balance Sheet Cash Used (net of min cash)</t>
  </si>
  <si>
    <t>Equity Advisory Fee (% of EV)</t>
  </si>
  <si>
    <t>Debt Financing Fee (% of EV)</t>
  </si>
  <si>
    <t>% of EV</t>
  </si>
  <si>
    <t>% of Equity</t>
  </si>
  <si>
    <t xml:space="preserve">% of Debt </t>
  </si>
  <si>
    <t>Cash Available For Debt Service</t>
  </si>
  <si>
    <t>(-) Remaining Debt at Exit</t>
  </si>
  <si>
    <t>Operational Synergies</t>
  </si>
  <si>
    <t>LBO Cashflow Summary</t>
  </si>
  <si>
    <t>Exit &amp; IRR Summary</t>
  </si>
  <si>
    <t>Senior Debt Opening</t>
  </si>
  <si>
    <t>Senior Debt Ending</t>
  </si>
  <si>
    <t>Junior Debt Ending</t>
  </si>
  <si>
    <t>Senior Debt Repayment</t>
  </si>
  <si>
    <t>Junior Debt Opening</t>
  </si>
  <si>
    <t>Junior Debt Repayment</t>
  </si>
  <si>
    <t>Revolver Opening</t>
  </si>
  <si>
    <t>Revolver Debt Repayment</t>
  </si>
  <si>
    <t>Revolver Debt Ending</t>
  </si>
  <si>
    <t>Assumed Debt Opening</t>
  </si>
  <si>
    <t>Assumed Debt Repayment</t>
  </si>
  <si>
    <t>Assumed Debt Ending</t>
  </si>
  <si>
    <t>Debt Repayment Summary</t>
  </si>
  <si>
    <t>Equity IRR Calculation</t>
  </si>
  <si>
    <t>Total Debt Ending Balance</t>
  </si>
  <si>
    <t>Operating Cashflow for Equity</t>
  </si>
  <si>
    <t/>
  </si>
  <si>
    <t>Total Revenue &amp; EBITDA Synergies</t>
  </si>
  <si>
    <t>Avg</t>
  </si>
  <si>
    <t>Revenue Increase</t>
  </si>
  <si>
    <t>EBITDA 
Margin Improvement</t>
  </si>
  <si>
    <t>Interest Rates 
(Senior / Junior)</t>
  </si>
  <si>
    <t>VLOOKUP Index for Payment Priority [not in use]</t>
  </si>
  <si>
    <t>LBO Purchase Price</t>
  </si>
  <si>
    <t>IRR</t>
  </si>
  <si>
    <t>LBO Purchase</t>
  </si>
  <si>
    <t>Assumed LBO Transaction Summary</t>
  </si>
  <si>
    <t>Residual Cashflow after LBO Debt Service</t>
  </si>
  <si>
    <t>LBO Assumtions</t>
  </si>
  <si>
    <t xml:space="preserve">Key Levers </t>
  </si>
  <si>
    <t>Key Metrics</t>
  </si>
  <si>
    <t>Values</t>
  </si>
  <si>
    <t>Implied Share Price</t>
  </si>
  <si>
    <t>Offered</t>
  </si>
  <si>
    <t>Current</t>
  </si>
  <si>
    <t>Premium</t>
  </si>
  <si>
    <t>2019E Debt/EBITDA</t>
  </si>
  <si>
    <t>WACC Calculation</t>
  </si>
  <si>
    <t>Revenue &amp; Margin Synergies EBITDA Contribution</t>
  </si>
  <si>
    <t>Entry Year (End) [do not change]</t>
  </si>
  <si>
    <t>Exit Year (End) [do not change]</t>
  </si>
  <si>
    <t>EBITDA Margin [adjust further on LBO-Financials page]</t>
  </si>
  <si>
    <t>Revenue Forecast [adjust further on LBO-Financials page]</t>
  </si>
  <si>
    <r>
      <t xml:space="preserve">Active Scenario </t>
    </r>
    <r>
      <rPr>
        <sz val="8"/>
        <rFont val="Arial"/>
        <family val="2"/>
      </rPr>
      <t>[input scenario to run]</t>
    </r>
  </si>
  <si>
    <t>Annual Margin Improvement</t>
  </si>
  <si>
    <t>Annual Revenue % Growth</t>
  </si>
  <si>
    <r>
      <t xml:space="preserve">Cashflow for </t>
    </r>
    <r>
      <rPr>
        <sz val="8"/>
        <rFont val="Arial"/>
        <family val="2"/>
      </rPr>
      <t xml:space="preserve">Debt Service </t>
    </r>
    <r>
      <rPr>
        <b/>
        <sz val="8"/>
        <rFont val="Arial"/>
        <family val="2"/>
      </rPr>
      <t>(post Taxes, Capex, &amp; WC)</t>
    </r>
  </si>
  <si>
    <t>Cashflow for Senior Debt</t>
  </si>
  <si>
    <t>Cashflow for Assumed Debt</t>
  </si>
  <si>
    <t>Cashflow for Revolver</t>
  </si>
  <si>
    <t>Cashflow for Junior Debt</t>
  </si>
  <si>
    <t>% of Revenue or COGS</t>
  </si>
  <si>
    <t>Working Capital and Other</t>
  </si>
  <si>
    <t>Average EBITDA Margin</t>
  </si>
  <si>
    <t xml:space="preserve">Cashflows for Debt Service / Total Interest Expense </t>
  </si>
  <si>
    <t>Cashflows for Debt Service / Senior Interest Expense</t>
  </si>
  <si>
    <t>Capex as % of depreciation</t>
  </si>
  <si>
    <t>Net Working Capital Change</t>
  </si>
  <si>
    <t>Borrowings (repayments) to achieve target debt balance</t>
  </si>
  <si>
    <t>Diluted Shares outstanding</t>
  </si>
  <si>
    <t>FCFF Fair Value Multiple Method [select 1 or 2 and input multiple]</t>
  </si>
  <si>
    <t>Forecast period as % of Enterprise Value</t>
  </si>
  <si>
    <t>Terminal value as % of Enterprise Value</t>
  </si>
  <si>
    <t>Add: D&amp;A &amp; Non-Cash Expenses (incomen statement)</t>
  </si>
  <si>
    <t>Change in working capital and other (cashflow statement)</t>
  </si>
  <si>
    <t>Common stock and paid-in capital (from capital structure)</t>
  </si>
  <si>
    <t>Equity Advisory Fee %</t>
  </si>
  <si>
    <t>Debt Financing Fee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</si>
</sst>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6" formatCode="&quot;$&quot;#,##0;[Red]\-&quot;$&quot;#,##0"/>
    <numFmt numFmtId="8" formatCode="&quot;$&quot;#,##0.00;[Red]\-&quot;$&quot;#,##0.00"/>
    <numFmt numFmtId="44" formatCode="_-&quot;$&quot;* #,##0.00_-;\-&quot;$&quot;* #,##0.00_-;_-&quot;$&quot;* &quot;-&quot;??_-;_-@_-"/>
    <numFmt numFmtId="43" formatCode="_-* #,##0.00_-;\-* #,##0.00_-;_-* &quot;-&quot;??_-;_-@_-"/>
    <numFmt numFmtId="164" formatCode="0.0%"/>
    <numFmt numFmtId="165" formatCode="0.00\x;\(0.00\x\);\-\ \x"/>
    <numFmt numFmtId="166" formatCode="&quot;$&quot;#,##0.00"/>
    <numFmt numFmtId="167" formatCode="#,##0;\(#,##0\);\-"/>
    <numFmt numFmtId="168" formatCode="_-* #,##0_-;\-* #,##0_-;_-* &quot;-&quot;??_-;_-@_-"/>
    <numFmt numFmtId="169" formatCode="#,##0;[Red]\(#,##0\);\-"/>
    <numFmt numFmtId="170" formatCode="#,##0;[Red]\(#,##0\)"/>
    <numFmt numFmtId="171" formatCode="0.0\x"/>
    <numFmt numFmtId="172" formatCode="#,##0.0;\(#,##0.0\);\-"/>
    <numFmt numFmtId="173" formatCode="_(&quot;$&quot;* #,##0.00_);_(&quot;$&quot;* \(#,##0.00\);_(&quot;$&quot;* &quot;-&quot;??_);_(@_)"/>
    <numFmt numFmtId="174" formatCode="#,##0.0\ \x;\(#,##0.0\ \x\);\-"/>
    <numFmt numFmtId="175" formatCode="0.0%;\(0.0%\);\-\%"/>
    <numFmt numFmtId="176" formatCode="&quot;Check&quot;;&quot;Check&quot;;&quot;OK&quot;"/>
    <numFmt numFmtId="177" formatCode="[$-409]d\-mmm\-yy;@"/>
    <numFmt numFmtId="178" formatCode="#,##0.0"/>
    <numFmt numFmtId="179" formatCode="0.0%;\(0.0%\)"/>
    <numFmt numFmtId="180" formatCode="0.00%;\(0.00%\);\-\%"/>
    <numFmt numFmtId="181" formatCode="0%_);\(0%\);0%_);@_)"/>
    <numFmt numFmtId="182" formatCode="_(* #,##0_);_(* \(#,##0\);_(* &quot;-&quot;??_);_(@_)"/>
    <numFmt numFmtId="183" formatCode="#,##0.0%_);\(#,##0.0%\);#,##0.0%_);@_%_)"/>
    <numFmt numFmtId="184" formatCode="_(* #,##0.00_);_(* \(#,##0.00\);_(* &quot;-&quot;??_);_(@_)"/>
    <numFmt numFmtId="185" formatCode="#,##0.0\ \x;[Red]\(#,##0.0\ \x\);\-"/>
    <numFmt numFmtId="186" formatCode="&quot;Y&quot;;&quot;N&quot;;&quot;N&quot;"/>
    <numFmt numFmtId="187" formatCode="#,##0.00\ \x;\(#,##0.00\ \x\);\-"/>
    <numFmt numFmtId="188" formatCode="#,##0.00\ \x;[Red]\(#,##0.00\ \x\);\-"/>
    <numFmt numFmtId="189" formatCode="_(* #,##0.000_);_(* \(#,##0.000\);_(* &quot;-&quot;??_);_(@_)"/>
    <numFmt numFmtId="190" formatCode="#,##0.00;[Red]\(#,##0.00\);\-"/>
    <numFmt numFmtId="191" formatCode="_(0.0%_);\(0.0%\);_(&quot;–&quot;_)_%;_(@_)_%"/>
    <numFmt numFmtId="192" formatCode="#,##0.00;\(#,##0.00\);\-"/>
    <numFmt numFmtId="193" formatCode="0.0%;\(0.0%\);\-"/>
    <numFmt numFmtId="194" formatCode="0.0%;[Red]\(0.0%\);\-"/>
    <numFmt numFmtId="195" formatCode="0%;[Red]\(0%\);\-"/>
    <numFmt numFmtId="196" formatCode="0.0%;\(0.0\)%"/>
    <numFmt numFmtId="197" formatCode="#&quot;E&quot;"/>
    <numFmt numFmtId="198" formatCode=";;"/>
    <numFmt numFmtId="199" formatCode="General&quot;E&quot;"/>
    <numFmt numFmtId="200" formatCode="#0.0\x"/>
    <numFmt numFmtId="201" formatCode="#0.00\x"/>
    <numFmt numFmtId="202" formatCode="0%;\(0%\);\-\%"/>
    <numFmt numFmtId="203" formatCode="&quot;Senior&quot;;0;&quot;Sub&quot;"/>
    <numFmt numFmtId="204" formatCode="0.0\x;\(0.0\x\);\-\ \x"/>
    <numFmt numFmtId="205" formatCode="&quot;Senior&quot;;&quot;WTF Dude!!?!&quot;;&quot;Sub&quot;"/>
    <numFmt numFmtId="206" formatCode="#0.0\x;&quot;Error&quot;;_(* &quot;-&quot;??_)"/>
    <numFmt numFmtId="207" formatCode="#0.0\x;\(#0.0\x\)"/>
    <numFmt numFmtId="208" formatCode="[$-1009]mmmm\ d\,\ yyyy;@"/>
    <numFmt numFmtId="213" formatCode="_-* #,##0.0_-;\-* #,##0.0_-;_-* &quot;-&quot;??_-;_-@_-"/>
    <numFmt numFmtId="220" formatCode="0.000000"/>
  </numFmts>
  <fonts count="65">
    <font>
      <sz val="11"/>
      <color theme="1"/>
      <name val="Calibri"/>
      <family val="2"/>
      <scheme val="minor"/>
    </font>
    <font>
      <sz val="11"/>
      <color theme="1"/>
      <name val="Calibri"/>
      <family val="2"/>
      <scheme val="minor"/>
    </font>
    <font>
      <sz val="10"/>
      <name val="Arial"/>
      <family val="2"/>
    </font>
    <font>
      <i/>
      <sz val="8"/>
      <name val="Arial"/>
      <family val="2"/>
    </font>
    <font>
      <b/>
      <sz val="8"/>
      <name val="Arial"/>
      <family val="2"/>
    </font>
    <font>
      <sz val="8"/>
      <name val="Arial"/>
      <family val="2"/>
    </font>
    <font>
      <sz val="10"/>
      <color indexed="12"/>
      <name val="Arial"/>
      <family val="2"/>
    </font>
    <font>
      <sz val="8"/>
      <name val="Times New Roman"/>
      <family val="1"/>
    </font>
    <font>
      <b/>
      <sz val="8"/>
      <color theme="1"/>
      <name val="Arial"/>
      <family val="2"/>
    </font>
    <font>
      <b/>
      <sz val="8"/>
      <color indexed="9"/>
      <name val="Arial"/>
      <family val="2"/>
    </font>
    <font>
      <sz val="10"/>
      <name val="Frutiger 45 Light"/>
      <family val="2"/>
    </font>
    <font>
      <sz val="9"/>
      <name val="Arial"/>
      <family val="2"/>
    </font>
    <font>
      <b/>
      <sz val="9"/>
      <color theme="0"/>
      <name val="Arial"/>
      <family val="2"/>
    </font>
    <font>
      <i/>
      <sz val="8"/>
      <color indexed="8"/>
      <name val="Arial"/>
      <family val="2"/>
    </font>
    <font>
      <b/>
      <i/>
      <sz val="8"/>
      <name val="Arial"/>
      <family val="2"/>
    </font>
    <font>
      <b/>
      <sz val="7"/>
      <name val="Arial"/>
      <family val="2"/>
    </font>
    <font>
      <b/>
      <sz val="8"/>
      <color rgb="FF0A0101"/>
      <name val="Arial"/>
      <family val="2"/>
    </font>
    <font>
      <sz val="8"/>
      <color rgb="FF0000FF"/>
      <name val="Arial"/>
      <family val="2"/>
    </font>
    <font>
      <sz val="10"/>
      <color rgb="FFFF0000"/>
      <name val="Arial"/>
      <family val="2"/>
    </font>
    <font>
      <sz val="8"/>
      <color theme="0"/>
      <name val="Arial"/>
      <family val="2"/>
    </font>
    <font>
      <b/>
      <sz val="12"/>
      <color indexed="8"/>
      <name val="Arial"/>
      <family val="2"/>
    </font>
    <font>
      <sz val="10"/>
      <color theme="0"/>
      <name val="Arial"/>
      <family val="2"/>
    </font>
    <font>
      <b/>
      <sz val="10"/>
      <color theme="0"/>
      <name val="Arial"/>
      <family val="2"/>
    </font>
    <font>
      <b/>
      <sz val="8"/>
      <color indexed="8"/>
      <name val="Arial"/>
      <family val="2"/>
    </font>
    <font>
      <b/>
      <sz val="8"/>
      <color indexed="10"/>
      <name val="Arial"/>
      <family val="2"/>
    </font>
    <font>
      <b/>
      <sz val="10"/>
      <name val="Arial"/>
      <family val="2"/>
    </font>
    <font>
      <sz val="8"/>
      <color indexed="8"/>
      <name val="Arial"/>
      <family val="2"/>
    </font>
    <font>
      <sz val="8"/>
      <color indexed="12"/>
      <name val="Arial"/>
      <family val="2"/>
    </font>
    <font>
      <u/>
      <sz val="8"/>
      <name val="Arial"/>
      <family val="2"/>
    </font>
    <font>
      <sz val="8"/>
      <color indexed="9"/>
      <name val="Arial"/>
      <family val="2"/>
    </font>
    <font>
      <b/>
      <sz val="10"/>
      <color indexed="9"/>
      <name val="Arial"/>
      <family val="2"/>
    </font>
    <font>
      <b/>
      <sz val="12"/>
      <name val="Arial"/>
      <family val="2"/>
    </font>
    <font>
      <sz val="8"/>
      <color theme="1"/>
      <name val="Arial"/>
      <family val="2"/>
    </font>
    <font>
      <i/>
      <sz val="10"/>
      <name val="Arial"/>
      <family val="2"/>
    </font>
    <font>
      <sz val="8"/>
      <color theme="1"/>
      <name val="Calibri"/>
      <family val="2"/>
      <scheme val="minor"/>
    </font>
    <font>
      <sz val="8"/>
      <color rgb="FF0000CC"/>
      <name val="Arial"/>
      <family val="2"/>
    </font>
    <font>
      <vertAlign val="superscript"/>
      <sz val="8"/>
      <name val="Arial"/>
      <family val="2"/>
    </font>
    <font>
      <sz val="8"/>
      <color rgb="FFFF0000"/>
      <name val="Arial"/>
      <family val="2"/>
    </font>
    <font>
      <b/>
      <sz val="8"/>
      <color theme="0"/>
      <name val="Arial"/>
      <family val="2"/>
    </font>
    <font>
      <sz val="8"/>
      <name val="Helvetica"/>
      <family val="2"/>
    </font>
    <font>
      <sz val="8"/>
      <color rgb="FF000000"/>
      <name val="Helvetica"/>
      <family val="2"/>
    </font>
    <font>
      <sz val="8"/>
      <color rgb="FF262626"/>
      <name val="Helvetica"/>
      <family val="2"/>
    </font>
    <font>
      <b/>
      <sz val="8"/>
      <color rgb="FF262626"/>
      <name val="Helvetica"/>
      <family val="2"/>
    </font>
    <font>
      <b/>
      <sz val="8"/>
      <color theme="0"/>
      <name val="Helvetica"/>
      <family val="2"/>
    </font>
    <font>
      <i/>
      <sz val="8"/>
      <color rgb="FF262626"/>
      <name val="Helvetica"/>
      <family val="2"/>
    </font>
    <font>
      <sz val="10"/>
      <color rgb="FF0000FF"/>
      <name val="Arial"/>
      <family val="2"/>
    </font>
    <font>
      <i/>
      <u/>
      <sz val="8"/>
      <name val="Arial"/>
      <family val="2"/>
    </font>
    <font>
      <sz val="7.5"/>
      <name val="Arial"/>
      <family val="2"/>
    </font>
    <font>
      <b/>
      <sz val="7.5"/>
      <color indexed="8"/>
      <name val="Arial"/>
      <family val="2"/>
    </font>
    <font>
      <b/>
      <u/>
      <sz val="8"/>
      <name val="Arial"/>
      <family val="2"/>
    </font>
    <font>
      <i/>
      <sz val="8"/>
      <color rgb="FF0000FF"/>
      <name val="Arial"/>
      <family val="2"/>
    </font>
    <font>
      <b/>
      <sz val="8"/>
      <color rgb="FF0000CC"/>
      <name val="Arial"/>
      <family val="2"/>
    </font>
    <font>
      <b/>
      <sz val="8"/>
      <color rgb="FFFF0000"/>
      <name val="Arial"/>
      <family val="2"/>
    </font>
    <font>
      <sz val="11"/>
      <color theme="1"/>
      <name val="Calibri"/>
      <family val="2"/>
    </font>
    <font>
      <sz val="9.5"/>
      <name val="Helvetica"/>
      <family val="2"/>
    </font>
    <font>
      <sz val="9.5"/>
      <color rgb="FF3366FF"/>
      <name val="Helvetica"/>
      <family val="2"/>
    </font>
    <font>
      <sz val="9.5"/>
      <color rgb="FF000000"/>
      <name val="Helvetica"/>
      <family val="2"/>
    </font>
    <font>
      <sz val="9.5"/>
      <color rgb="FF262626"/>
      <name val="Helvetica"/>
      <family val="2"/>
    </font>
    <font>
      <b/>
      <sz val="9.5"/>
      <color rgb="FF262626"/>
      <name val="Helvetica"/>
      <family val="2"/>
    </font>
    <font>
      <b/>
      <sz val="9.5"/>
      <color theme="0"/>
      <name val="Helvetica"/>
      <family val="2"/>
    </font>
    <font>
      <i/>
      <sz val="9.5"/>
      <color theme="1"/>
      <name val="Helvetica"/>
      <family val="2"/>
    </font>
    <font>
      <b/>
      <sz val="8"/>
      <name val="Helvetica"/>
      <family val="2"/>
    </font>
    <font>
      <b/>
      <sz val="10"/>
      <color theme="0"/>
      <name val="Helvetica"/>
      <family val="2"/>
    </font>
    <font>
      <sz val="10"/>
      <color theme="1"/>
      <name val="Arial"/>
      <family val="2"/>
    </font>
    <font>
      <u/>
      <sz val="11"/>
      <color theme="10"/>
      <name val="Calibri"/>
      <family val="2"/>
    </font>
  </fonts>
  <fills count="17">
    <fill>
      <patternFill patternType="none"/>
    </fill>
    <fill>
      <patternFill patternType="gray125"/>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9"/>
        <bgColor indexed="64"/>
      </patternFill>
    </fill>
    <fill>
      <patternFill patternType="solid">
        <fgColor theme="2" tint="-0.499984740745262"/>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9.9978637043366805E-2"/>
        <bgColor indexed="64"/>
      </patternFill>
    </fill>
    <fill>
      <patternFill patternType="lightUp">
        <fgColor theme="3"/>
        <bgColor theme="0"/>
      </patternFill>
    </fill>
    <fill>
      <patternFill patternType="lightUp">
        <fgColor theme="3"/>
      </patternFill>
    </fill>
    <fill>
      <patternFill patternType="lightUp">
        <fgColor theme="3" tint="-0.24994659260841701"/>
        <bgColor theme="0" tint="-4.9989318521683403E-2"/>
      </patternFill>
    </fill>
    <fill>
      <patternFill patternType="solid">
        <fgColor rgb="FF404040"/>
        <bgColor indexed="64"/>
      </patternFill>
    </fill>
    <fill>
      <patternFill patternType="solid">
        <fgColor rgb="FF00B050"/>
        <bgColor indexed="64"/>
      </patternFill>
    </fill>
    <fill>
      <patternFill patternType="solid">
        <fgColor theme="3" tint="0.39997558519241921"/>
        <bgColor indexed="64"/>
      </patternFill>
    </fill>
  </fills>
  <borders count="88">
    <border>
      <left/>
      <right/>
      <top/>
      <bottom/>
      <diagonal/>
    </border>
    <border>
      <left/>
      <right/>
      <top style="thin">
        <color auto="1"/>
      </top>
      <bottom/>
      <diagonal/>
    </border>
    <border>
      <left/>
      <right/>
      <top/>
      <bottom style="thin">
        <color auto="1"/>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top style="thin">
        <color indexed="64"/>
      </top>
      <bottom style="thin">
        <color auto="1"/>
      </bottom>
      <diagonal/>
    </border>
    <border>
      <left/>
      <right/>
      <top/>
      <bottom style="thin">
        <color indexed="28"/>
      </bottom>
      <diagonal/>
    </border>
    <border>
      <left/>
      <right/>
      <top style="dashed">
        <color theme="2" tint="-0.24994659260841701"/>
      </top>
      <bottom/>
      <diagonal/>
    </border>
    <border>
      <left/>
      <right/>
      <top style="hair">
        <color indexed="64"/>
      </top>
      <bottom/>
      <diagonal/>
    </border>
    <border>
      <left/>
      <right/>
      <top/>
      <bottom style="medium">
        <color auto="1"/>
      </bottom>
      <diagonal/>
    </border>
    <border>
      <left/>
      <right style="hair">
        <color auto="1"/>
      </right>
      <top/>
      <bottom style="hair">
        <color auto="1"/>
      </bottom>
      <diagonal/>
    </border>
    <border>
      <left/>
      <right/>
      <top/>
      <bottom style="hair">
        <color auto="1"/>
      </bottom>
      <diagonal/>
    </border>
    <border>
      <left style="hair">
        <color indexed="64"/>
      </left>
      <right/>
      <top/>
      <bottom style="hair">
        <color auto="1"/>
      </bottom>
      <diagonal/>
    </border>
    <border>
      <left/>
      <right style="hair">
        <color auto="1"/>
      </right>
      <top/>
      <bottom/>
      <diagonal/>
    </border>
    <border>
      <left style="hair">
        <color indexed="64"/>
      </left>
      <right/>
      <top/>
      <bottom/>
      <diagonal/>
    </border>
    <border>
      <left/>
      <right style="hair">
        <color indexed="64"/>
      </right>
      <top style="hair">
        <color indexed="64"/>
      </top>
      <bottom/>
      <diagonal/>
    </border>
    <border>
      <left style="hair">
        <color indexed="64"/>
      </left>
      <right/>
      <top style="hair">
        <color indexed="64"/>
      </top>
      <bottom/>
      <diagonal/>
    </border>
    <border>
      <left/>
      <right style="thin">
        <color auto="1"/>
      </right>
      <top/>
      <bottom style="thin">
        <color indexed="64"/>
      </bottom>
      <diagonal/>
    </border>
    <border>
      <left/>
      <right/>
      <top/>
      <bottom style="thin">
        <color indexed="64"/>
      </bottom>
      <diagonal/>
    </border>
    <border>
      <left style="thin">
        <color auto="1"/>
      </left>
      <right/>
      <top/>
      <bottom style="thin">
        <color indexed="64"/>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hair">
        <color auto="1"/>
      </top>
      <bottom style="hair">
        <color auto="1"/>
      </bottom>
      <diagonal/>
    </border>
    <border>
      <left style="thin">
        <color auto="1"/>
      </left>
      <right style="thin">
        <color auto="1"/>
      </right>
      <top/>
      <bottom style="thin">
        <color indexed="64"/>
      </bottom>
      <diagonal/>
    </border>
    <border>
      <left/>
      <right/>
      <top/>
      <bottom style="thin">
        <color theme="1" tint="0.24994659260841701"/>
      </bottom>
      <diagonal/>
    </border>
    <border>
      <left/>
      <right/>
      <top style="thin">
        <color theme="0" tint="-0.14993743705557422"/>
      </top>
      <bottom style="thin">
        <color theme="0" tint="-0.14990691854609822"/>
      </bottom>
      <diagonal/>
    </border>
    <border>
      <left/>
      <right/>
      <top style="thin">
        <color theme="0"/>
      </top>
      <bottom style="thin">
        <color theme="0" tint="-0.14993743705557422"/>
      </bottom>
      <diagonal/>
    </border>
    <border>
      <left/>
      <right/>
      <top/>
      <bottom style="thin">
        <color rgb="FFFFFFFF"/>
      </bottom>
      <diagonal/>
    </border>
    <border>
      <left style="thin">
        <color auto="1"/>
      </left>
      <right style="thin">
        <color auto="1"/>
      </right>
      <top/>
      <bottom/>
      <diagonal/>
    </border>
    <border>
      <left/>
      <right/>
      <top style="medium">
        <color auto="1"/>
      </top>
      <bottom style="thin">
        <color auto="1"/>
      </bottom>
      <diagonal/>
    </border>
    <border>
      <left/>
      <right/>
      <top style="medium">
        <color auto="1"/>
      </top>
      <bottom/>
      <diagonal/>
    </border>
    <border>
      <left/>
      <right/>
      <top style="thin">
        <color theme="2"/>
      </top>
      <bottom style="thin">
        <color theme="2"/>
      </bottom>
      <diagonal/>
    </border>
    <border>
      <left/>
      <right/>
      <top style="thin">
        <color theme="0"/>
      </top>
      <bottom style="thin">
        <color theme="2"/>
      </bottom>
      <diagonal/>
    </border>
    <border>
      <left style="thin">
        <color theme="5" tint="0.39997558519241921"/>
      </left>
      <right/>
      <top style="thin">
        <color theme="5" tint="0.39997558519241921"/>
      </top>
      <bottom/>
      <diagonal/>
    </border>
    <border>
      <left/>
      <right/>
      <top style="thin">
        <color theme="5" tint="0.39997558519241921"/>
      </top>
      <bottom/>
      <diagonal/>
    </border>
    <border>
      <left/>
      <right style="thin">
        <color theme="5" tint="0.39997558519241921"/>
      </right>
      <top style="thin">
        <color theme="5" tint="0.39997558519241921"/>
      </top>
      <bottom/>
      <diagonal/>
    </border>
    <border>
      <left style="thin">
        <color theme="5" tint="0.39997558519241921"/>
      </left>
      <right/>
      <top/>
      <bottom style="thin">
        <color rgb="FFFFFFFF"/>
      </bottom>
      <diagonal/>
    </border>
    <border>
      <left/>
      <right style="thin">
        <color theme="5" tint="0.39997558519241921"/>
      </right>
      <top/>
      <bottom style="thin">
        <color theme="0"/>
      </bottom>
      <diagonal/>
    </border>
    <border>
      <left style="thin">
        <color theme="5" tint="0.39997558519241921"/>
      </left>
      <right/>
      <top style="thin">
        <color theme="0"/>
      </top>
      <bottom style="thin">
        <color theme="0" tint="-0.14993743705557422"/>
      </bottom>
      <diagonal/>
    </border>
    <border>
      <left/>
      <right style="thin">
        <color theme="5" tint="0.39997558519241921"/>
      </right>
      <top style="thin">
        <color rgb="FFA6A6A6"/>
      </top>
      <bottom style="thin">
        <color rgb="FFA6A6A6"/>
      </bottom>
      <diagonal/>
    </border>
    <border>
      <left/>
      <right style="thin">
        <color theme="5" tint="0.39997558519241921"/>
      </right>
      <top style="thin">
        <color rgb="FFA6A6A6"/>
      </top>
      <bottom style="thin">
        <color rgb="FFBFBFBF"/>
      </bottom>
      <diagonal/>
    </border>
    <border>
      <left/>
      <right style="thin">
        <color theme="5" tint="0.39997558519241921"/>
      </right>
      <top style="thin">
        <color rgb="FFBFBFBF"/>
      </top>
      <bottom style="thin">
        <color rgb="FFBFBFBF"/>
      </bottom>
      <diagonal/>
    </border>
    <border>
      <left style="thin">
        <color theme="5" tint="0.39997558519241921"/>
      </left>
      <right/>
      <top/>
      <bottom/>
      <diagonal/>
    </border>
    <border>
      <left/>
      <right style="thin">
        <color theme="5" tint="0.39997558519241921"/>
      </right>
      <top/>
      <bottom/>
      <diagonal/>
    </border>
    <border>
      <left style="thin">
        <color theme="5" tint="0.39997558519241921"/>
      </left>
      <right/>
      <top style="thin">
        <color theme="0" tint="-0.14993743705557422"/>
      </top>
      <bottom style="thin">
        <color theme="0" tint="-0.14990691854609822"/>
      </bottom>
      <diagonal/>
    </border>
    <border>
      <left style="thin">
        <color theme="5" tint="0.39997558519241921"/>
      </left>
      <right/>
      <top style="thin">
        <color theme="0" tint="-0.14990691854609822"/>
      </top>
      <bottom style="thin">
        <color theme="0" tint="-0.14990691854609822"/>
      </bottom>
      <diagonal/>
    </border>
    <border>
      <left style="thin">
        <color theme="5" tint="0.39997558519241921"/>
      </left>
      <right/>
      <top style="thin">
        <color theme="0" tint="-0.14990691854609822"/>
      </top>
      <bottom style="thin">
        <color theme="5" tint="0.39997558519241921"/>
      </bottom>
      <diagonal/>
    </border>
    <border>
      <left/>
      <right/>
      <top style="thin">
        <color theme="0" tint="-0.14990691854609822"/>
      </top>
      <bottom style="thin">
        <color theme="5" tint="0.39997558519241921"/>
      </bottom>
      <diagonal/>
    </border>
    <border>
      <left/>
      <right/>
      <top style="thin">
        <color theme="0" tint="-0.14993743705557422"/>
      </top>
      <bottom style="thin">
        <color theme="5" tint="0.39997558519241921"/>
      </bottom>
      <diagonal/>
    </border>
    <border>
      <left/>
      <right style="thin">
        <color theme="5" tint="0.39997558519241921"/>
      </right>
      <top style="thin">
        <color rgb="FFBFBFBF"/>
      </top>
      <bottom style="thin">
        <color theme="5" tint="0.39997558519241921"/>
      </bottom>
      <diagonal/>
    </border>
    <border>
      <left/>
      <right style="thin">
        <color theme="5" tint="0.39997558519241921"/>
      </right>
      <top/>
      <bottom style="thin">
        <color indexed="64"/>
      </bottom>
      <diagonal/>
    </border>
    <border>
      <left style="thin">
        <color theme="5" tint="0.39997558519241921"/>
      </left>
      <right/>
      <top/>
      <bottom style="thin">
        <color indexed="64"/>
      </bottom>
      <diagonal/>
    </border>
    <border>
      <left style="thin">
        <color theme="5" tint="0.39997558519241921"/>
      </left>
      <right/>
      <top style="thin">
        <color indexed="64"/>
      </top>
      <bottom/>
      <diagonal/>
    </border>
    <border>
      <left/>
      <right style="thin">
        <color theme="5" tint="0.39997558519241921"/>
      </right>
      <top style="thin">
        <color indexed="64"/>
      </top>
      <bottom/>
      <diagonal/>
    </border>
    <border>
      <left style="thin">
        <color theme="5" tint="0.39997558519241921"/>
      </left>
      <right/>
      <top/>
      <bottom style="thin">
        <color theme="5" tint="0.39997558519241921"/>
      </bottom>
      <diagonal/>
    </border>
    <border>
      <left/>
      <right/>
      <top/>
      <bottom style="thin">
        <color theme="5" tint="0.39997558519241921"/>
      </bottom>
      <diagonal/>
    </border>
    <border>
      <left/>
      <right style="thin">
        <color theme="5" tint="0.39997558519241921"/>
      </right>
      <top/>
      <bottom style="thin">
        <color theme="5" tint="0.39997558519241921"/>
      </bottom>
      <diagonal/>
    </border>
    <border>
      <left style="thin">
        <color theme="5" tint="0.39997558519241921"/>
      </left>
      <right/>
      <top style="hair">
        <color auto="1"/>
      </top>
      <bottom/>
      <diagonal/>
    </border>
    <border>
      <left/>
      <right style="thin">
        <color theme="5" tint="0.39997558519241921"/>
      </right>
      <top style="hair">
        <color auto="1"/>
      </top>
      <bottom/>
      <diagonal/>
    </border>
    <border>
      <left style="thin">
        <color theme="5" tint="0.39997558519241921"/>
      </left>
      <right/>
      <top style="thin">
        <color indexed="64"/>
      </top>
      <bottom style="thin">
        <color indexed="64"/>
      </bottom>
      <diagonal/>
    </border>
    <border>
      <left/>
      <right style="thin">
        <color theme="5" tint="0.39997558519241921"/>
      </right>
      <top style="thin">
        <color indexed="64"/>
      </top>
      <bottom style="thin">
        <color indexed="64"/>
      </bottom>
      <diagonal/>
    </border>
    <border>
      <left style="thin">
        <color theme="5" tint="0.39997558519241921"/>
      </left>
      <right/>
      <top style="dashed">
        <color theme="2" tint="-0.24994659260841701"/>
      </top>
      <bottom/>
      <diagonal/>
    </border>
    <border>
      <left/>
      <right style="thin">
        <color theme="5" tint="0.39997558519241921"/>
      </right>
      <top style="dashed">
        <color theme="2" tint="-0.24994659260841701"/>
      </top>
      <bottom/>
      <diagonal/>
    </border>
    <border>
      <left/>
      <right/>
      <top style="thin">
        <color auto="1"/>
      </top>
      <bottom style="thin">
        <color theme="5" tint="0.39997558519241921"/>
      </bottom>
      <diagonal/>
    </border>
    <border>
      <left style="thin">
        <color theme="5" tint="0.39997558519241921"/>
      </left>
      <right/>
      <top/>
      <bottom style="medium">
        <color auto="1"/>
      </bottom>
      <diagonal/>
    </border>
    <border>
      <left/>
      <right style="thin">
        <color theme="5" tint="0.39997558519241921"/>
      </right>
      <top/>
      <bottom style="medium">
        <color auto="1"/>
      </bottom>
      <diagonal/>
    </border>
    <border>
      <left style="thin">
        <color theme="5" tint="0.39997558519241921"/>
      </left>
      <right/>
      <top/>
      <bottom style="hair">
        <color auto="1"/>
      </bottom>
      <diagonal/>
    </border>
    <border>
      <left/>
      <right style="thin">
        <color theme="5" tint="0.39997558519241921"/>
      </right>
      <top/>
      <bottom style="hair">
        <color auto="1"/>
      </bottom>
      <diagonal/>
    </border>
    <border>
      <left style="thin">
        <color theme="5" tint="0.39997558519241921"/>
      </left>
      <right/>
      <top style="thin">
        <color auto="1"/>
      </top>
      <bottom style="thin">
        <color theme="5" tint="0.39997558519241921"/>
      </bottom>
      <diagonal/>
    </border>
    <border>
      <left/>
      <right style="thin">
        <color theme="5" tint="0.39997558519241921"/>
      </right>
      <top style="thin">
        <color auto="1"/>
      </top>
      <bottom style="thin">
        <color theme="5" tint="0.39997558519241921"/>
      </bottom>
      <diagonal/>
    </border>
    <border>
      <left style="thin">
        <color theme="5" tint="0.39997558519241921"/>
      </left>
      <right/>
      <top style="thin">
        <color theme="0"/>
      </top>
      <bottom style="thin">
        <color theme="2"/>
      </bottom>
      <diagonal/>
    </border>
    <border>
      <left/>
      <right style="thin">
        <color theme="5" tint="0.39997558519241921"/>
      </right>
      <top style="thin">
        <color theme="0"/>
      </top>
      <bottom style="thin">
        <color theme="2"/>
      </bottom>
      <diagonal/>
    </border>
    <border>
      <left style="thin">
        <color theme="5" tint="0.39997558519241921"/>
      </left>
      <right/>
      <top style="thin">
        <color theme="2"/>
      </top>
      <bottom style="thin">
        <color theme="2"/>
      </bottom>
      <diagonal/>
    </border>
    <border>
      <left/>
      <right style="thin">
        <color theme="5" tint="0.39997558519241921"/>
      </right>
      <top style="thin">
        <color theme="2"/>
      </top>
      <bottom style="thin">
        <color theme="2"/>
      </bottom>
      <diagonal/>
    </border>
    <border>
      <left style="thin">
        <color theme="5" tint="0.39997558519241921"/>
      </left>
      <right/>
      <top style="thin">
        <color theme="0"/>
      </top>
      <bottom style="thin">
        <color theme="5" tint="0.39997558519241921"/>
      </bottom>
      <diagonal/>
    </border>
    <border>
      <left/>
      <right/>
      <top style="thin">
        <color theme="0"/>
      </top>
      <bottom style="thin">
        <color theme="5" tint="0.39997558519241921"/>
      </bottom>
      <diagonal/>
    </border>
    <border>
      <left/>
      <right style="thin">
        <color theme="5" tint="0.39997558519241921"/>
      </right>
      <top style="thin">
        <color theme="0"/>
      </top>
      <bottom style="thin">
        <color theme="5" tint="0.3999755851924192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theme="5" tint="0.39997558519241921"/>
      </left>
      <right/>
      <top/>
      <bottom style="thin">
        <color theme="5" tint="0.39994506668294322"/>
      </bottom>
      <diagonal/>
    </border>
    <border>
      <left/>
      <right/>
      <top/>
      <bottom style="thin">
        <color theme="5" tint="0.39994506668294322"/>
      </bottom>
      <diagonal/>
    </border>
    <border>
      <left/>
      <right style="thin">
        <color theme="5" tint="0.39997558519241921"/>
      </right>
      <top/>
      <bottom style="thin">
        <color theme="5" tint="0.39994506668294322"/>
      </bottom>
      <diagonal/>
    </border>
    <border>
      <left/>
      <right/>
      <top style="thin">
        <color theme="5" tint="0.39997558519241921"/>
      </top>
      <bottom style="thin">
        <color theme="5" tint="0.3999755851924192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right/>
      <top style="thin">
        <color theme="5" tint="0.39997558519241921"/>
      </top>
      <bottom style="thin">
        <color indexed="64"/>
      </bottom>
      <diagonal/>
    </border>
  </borders>
  <cellStyleXfs count="31">
    <xf numFmtId="0" fontId="0" fillId="0" borderId="0"/>
    <xf numFmtId="43" fontId="1" fillId="0" borderId="0" applyFont="0" applyFill="0" applyBorder="0" applyAlignment="0" applyProtection="0"/>
    <xf numFmtId="17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alignment vertical="top"/>
    </xf>
    <xf numFmtId="168" fontId="6" fillId="0" borderId="0" applyNumberFormat="0" applyFont="0" applyBorder="0" applyAlignment="0" applyProtection="0"/>
    <xf numFmtId="0" fontId="2" fillId="0" borderId="0"/>
    <xf numFmtId="170" fontId="7" fillId="0" borderId="0"/>
    <xf numFmtId="0" fontId="2" fillId="0" borderId="0"/>
    <xf numFmtId="9" fontId="2" fillId="0" borderId="0" applyFont="0" applyFill="0" applyBorder="0" applyAlignment="0" applyProtection="0"/>
    <xf numFmtId="0" fontId="10" fillId="0" borderId="0"/>
    <xf numFmtId="0" fontId="15" fillId="0" borderId="6" applyNumberFormat="0" applyFont="0" applyFill="0" applyAlignment="0" applyProtection="0">
      <alignment horizontal="centerContinuous"/>
    </xf>
    <xf numFmtId="173" fontId="2" fillId="0" borderId="0" applyFont="0" applyFill="0" applyBorder="0" applyAlignment="0" applyProtection="0"/>
    <xf numFmtId="0" fontId="15" fillId="0" borderId="6" applyNumberFormat="0" applyFont="0" applyFill="0" applyAlignment="0" applyProtection="0">
      <alignment horizontal="centerContinuous"/>
    </xf>
    <xf numFmtId="0" fontId="15" fillId="0" borderId="0" applyFill="0" applyBorder="0" applyProtection="0"/>
    <xf numFmtId="184" fontId="2" fillId="0" borderId="0" applyFont="0" applyFill="0" applyBorder="0" applyAlignment="0" applyProtection="0"/>
    <xf numFmtId="208" fontId="63" fillId="0" borderId="0"/>
    <xf numFmtId="9" fontId="2" fillId="0" borderId="0" applyFont="0" applyFill="0" applyBorder="0" applyAlignment="0" applyProtection="0"/>
    <xf numFmtId="43" fontId="2" fillId="0" borderId="0" applyFont="0" applyFill="0" applyBorder="0" applyAlignment="0" applyProtection="0"/>
    <xf numFmtId="208" fontId="2" fillId="0" borderId="0"/>
    <xf numFmtId="0" fontId="2" fillId="0" borderId="0"/>
    <xf numFmtId="44" fontId="2" fillId="0" borderId="0" applyFont="0" applyFill="0" applyBorder="0" applyAlignment="0" applyProtection="0"/>
    <xf numFmtId="0" fontId="1" fillId="0" borderId="0"/>
    <xf numFmtId="184" fontId="2" fillId="0" borderId="0" applyFont="0" applyFill="0" applyBorder="0" applyAlignment="0" applyProtection="0"/>
    <xf numFmtId="173" fontId="2" fillId="0" borderId="0" applyFont="0" applyFill="0" applyBorder="0" applyAlignment="0" applyProtection="0"/>
    <xf numFmtId="0" fontId="64" fillId="0" borderId="0" applyNumberFormat="0" applyFill="0" applyBorder="0" applyAlignment="0" applyProtection="0">
      <alignment vertical="top"/>
      <protection locked="0"/>
    </xf>
    <xf numFmtId="184" fontId="1" fillId="0" borderId="0" applyFont="0" applyFill="0" applyBorder="0" applyAlignment="0" applyProtection="0"/>
    <xf numFmtId="220" fontId="2" fillId="0" borderId="0">
      <alignment horizontal="left" wrapText="1"/>
    </xf>
    <xf numFmtId="0" fontId="2" fillId="0" borderId="0" applyFill="0" applyBorder="0" applyAlignment="0" applyProtection="0"/>
    <xf numFmtId="0" fontId="1" fillId="0" borderId="0"/>
  </cellStyleXfs>
  <cellXfs count="1069">
    <xf numFmtId="0" fontId="0" fillId="0" borderId="0" xfId="0"/>
    <xf numFmtId="0" fontId="3" fillId="0" borderId="0" xfId="4" applyFont="1"/>
    <xf numFmtId="0" fontId="2" fillId="0" borderId="0" xfId="4"/>
    <xf numFmtId="0" fontId="3" fillId="0" borderId="0" xfId="4" applyFont="1" applyBorder="1"/>
    <xf numFmtId="0" fontId="5" fillId="0" borderId="0" xfId="4" applyFont="1" applyBorder="1"/>
    <xf numFmtId="0" fontId="5" fillId="2" borderId="0" xfId="4" applyNumberFormat="1" applyFont="1" applyFill="1" applyBorder="1" applyAlignment="1"/>
    <xf numFmtId="0" fontId="5" fillId="3" borderId="0" xfId="4" applyFont="1" applyFill="1" applyBorder="1"/>
    <xf numFmtId="0" fontId="2" fillId="0" borderId="0" xfId="4" applyBorder="1"/>
    <xf numFmtId="167" fontId="5" fillId="0" borderId="0" xfId="4" applyNumberFormat="1" applyFont="1" applyFill="1" applyBorder="1"/>
    <xf numFmtId="0" fontId="5" fillId="0" borderId="0" xfId="5" applyFont="1" applyBorder="1">
      <alignment vertical="top"/>
    </xf>
    <xf numFmtId="0" fontId="5" fillId="0" borderId="2" xfId="5" applyFont="1" applyBorder="1">
      <alignment vertical="top"/>
    </xf>
    <xf numFmtId="170" fontId="5" fillId="5" borderId="0" xfId="8" quotePrefix="1" applyFont="1" applyFill="1" applyBorder="1" applyAlignment="1" applyProtection="1">
      <alignment horizontal="left" indent="1"/>
    </xf>
    <xf numFmtId="0" fontId="5" fillId="5" borderId="0" xfId="9" applyFont="1" applyFill="1" applyBorder="1" applyProtection="1"/>
    <xf numFmtId="164" fontId="5" fillId="0" borderId="0" xfId="4" applyNumberFormat="1" applyFont="1" applyFill="1" applyBorder="1" applyAlignment="1">
      <alignment horizontal="right"/>
    </xf>
    <xf numFmtId="170" fontId="5" fillId="5" borderId="0" xfId="8" applyFont="1" applyFill="1" applyBorder="1" applyAlignment="1" applyProtection="1">
      <alignment horizontal="left"/>
    </xf>
    <xf numFmtId="171" fontId="5" fillId="0" borderId="0" xfId="9" applyNumberFormat="1" applyFont="1" applyFill="1" applyBorder="1" applyAlignment="1" applyProtection="1">
      <alignment horizontal="right"/>
      <protection locked="0"/>
    </xf>
    <xf numFmtId="15" fontId="5" fillId="0" borderId="0" xfId="4" applyNumberFormat="1" applyFont="1" applyBorder="1"/>
    <xf numFmtId="10" fontId="5" fillId="0" borderId="0" xfId="4" applyNumberFormat="1" applyFont="1" applyFill="1" applyBorder="1" applyAlignment="1">
      <alignment horizontal="right"/>
    </xf>
    <xf numFmtId="172" fontId="5" fillId="0" borderId="0" xfId="11" applyNumberFormat="1" applyFont="1" applyFill="1" applyBorder="1"/>
    <xf numFmtId="0" fontId="0" fillId="0" borderId="0" xfId="0" applyBorder="1"/>
    <xf numFmtId="167" fontId="5" fillId="0" borderId="0" xfId="4" applyNumberFormat="1" applyFont="1" applyBorder="1"/>
    <xf numFmtId="0" fontId="5" fillId="0" borderId="4" xfId="4" applyFont="1" applyBorder="1"/>
    <xf numFmtId="0" fontId="5" fillId="0" borderId="5" xfId="4" applyFont="1" applyBorder="1"/>
    <xf numFmtId="167" fontId="5" fillId="0" borderId="0" xfId="4" applyNumberFormat="1" applyFont="1"/>
    <xf numFmtId="0" fontId="5" fillId="0" borderId="0" xfId="4" applyFont="1"/>
    <xf numFmtId="167" fontId="4" fillId="9" borderId="0" xfId="4" applyNumberFormat="1" applyFont="1" applyFill="1" applyBorder="1"/>
    <xf numFmtId="0" fontId="4" fillId="2" borderId="1" xfId="4" applyFont="1" applyFill="1" applyBorder="1"/>
    <xf numFmtId="167" fontId="5" fillId="9" borderId="0" xfId="4" applyNumberFormat="1" applyFont="1" applyFill="1" applyBorder="1"/>
    <xf numFmtId="0" fontId="2" fillId="0" borderId="0" xfId="4" applyFont="1"/>
    <xf numFmtId="0" fontId="5" fillId="0" borderId="0" xfId="11" applyFont="1" applyFill="1" applyBorder="1"/>
    <xf numFmtId="0" fontId="16" fillId="0" borderId="0" xfId="0" applyFont="1"/>
    <xf numFmtId="0" fontId="4" fillId="0" borderId="0" xfId="4" applyFont="1" applyFill="1" applyBorder="1" applyAlignment="1">
      <alignment horizontal="centerContinuous"/>
    </xf>
    <xf numFmtId="167" fontId="4" fillId="0" borderId="0" xfId="4" applyNumberFormat="1" applyFont="1" applyFill="1" applyBorder="1"/>
    <xf numFmtId="0" fontId="4" fillId="0" borderId="0" xfId="4" applyFont="1" applyFill="1" applyBorder="1"/>
    <xf numFmtId="0" fontId="4" fillId="0" borderId="0" xfId="4" applyFont="1" applyBorder="1"/>
    <xf numFmtId="0" fontId="17" fillId="2" borderId="0" xfId="4" applyNumberFormat="1" applyFont="1" applyFill="1" applyBorder="1" applyAlignment="1"/>
    <xf numFmtId="0" fontId="18" fillId="0" borderId="0" xfId="4" applyFont="1"/>
    <xf numFmtId="0" fontId="2" fillId="7" borderId="0" xfId="4" applyFill="1"/>
    <xf numFmtId="176" fontId="19" fillId="7" borderId="0" xfId="4" applyNumberFormat="1" applyFont="1" applyFill="1" applyBorder="1" applyAlignment="1">
      <alignment horizontal="center"/>
    </xf>
    <xf numFmtId="0" fontId="5" fillId="7" borderId="0" xfId="4" applyFont="1" applyFill="1" applyBorder="1"/>
    <xf numFmtId="0" fontId="20" fillId="7" borderId="0" xfId="4" applyFont="1" applyFill="1" applyBorder="1"/>
    <xf numFmtId="0" fontId="2" fillId="0" borderId="1" xfId="4" applyBorder="1"/>
    <xf numFmtId="176" fontId="19" fillId="9" borderId="1" xfId="4" applyNumberFormat="1" applyFont="1" applyFill="1" applyBorder="1" applyAlignment="1">
      <alignment horizontal="center"/>
    </xf>
    <xf numFmtId="0" fontId="5" fillId="0" borderId="1" xfId="4" applyFont="1" applyBorder="1"/>
    <xf numFmtId="0" fontId="20" fillId="0" borderId="1" xfId="4" applyFont="1" applyBorder="1"/>
    <xf numFmtId="0" fontId="2" fillId="7" borderId="0" xfId="4" applyFont="1" applyFill="1"/>
    <xf numFmtId="176" fontId="21" fillId="7" borderId="0" xfId="4" applyNumberFormat="1" applyFont="1" applyFill="1" applyBorder="1" applyAlignment="1">
      <alignment horizontal="center"/>
    </xf>
    <xf numFmtId="0" fontId="2" fillId="7" borderId="0" xfId="4" applyFont="1" applyFill="1" applyBorder="1"/>
    <xf numFmtId="0" fontId="21" fillId="7" borderId="0" xfId="4" applyFont="1" applyFill="1" applyBorder="1"/>
    <xf numFmtId="0" fontId="22" fillId="7" borderId="0" xfId="4" applyFont="1" applyFill="1" applyBorder="1"/>
    <xf numFmtId="0" fontId="5" fillId="2" borderId="0" xfId="4" applyFont="1" applyFill="1" applyBorder="1"/>
    <xf numFmtId="0" fontId="19" fillId="10" borderId="0" xfId="4" applyFont="1" applyFill="1" applyBorder="1"/>
    <xf numFmtId="0" fontId="4" fillId="0" borderId="0" xfId="4" applyNumberFormat="1" applyFont="1" applyFill="1" applyBorder="1" applyAlignment="1"/>
    <xf numFmtId="0" fontId="23" fillId="0" borderId="0" xfId="4" applyFont="1" applyBorder="1"/>
    <xf numFmtId="177" fontId="4" fillId="0" borderId="0" xfId="4" applyNumberFormat="1" applyFont="1" applyBorder="1" applyAlignment="1">
      <alignment horizontal="centerContinuous"/>
    </xf>
    <xf numFmtId="177" fontId="4" fillId="0" borderId="0" xfId="4" applyNumberFormat="1" applyFont="1" applyBorder="1"/>
    <xf numFmtId="15" fontId="24" fillId="0" borderId="0" xfId="4" applyNumberFormat="1" applyFont="1" applyBorder="1"/>
    <xf numFmtId="0" fontId="25" fillId="0" borderId="0" xfId="4" applyFont="1"/>
    <xf numFmtId="0" fontId="5" fillId="0" borderId="0" xfId="4" applyFont="1" applyFill="1"/>
    <xf numFmtId="0" fontId="5" fillId="2" borderId="0" xfId="4" applyFont="1" applyFill="1"/>
    <xf numFmtId="0" fontId="2" fillId="2" borderId="0" xfId="4" applyFill="1"/>
    <xf numFmtId="0" fontId="5" fillId="10" borderId="0" xfId="4" applyFont="1" applyFill="1" applyBorder="1"/>
    <xf numFmtId="0" fontId="5" fillId="0" borderId="0" xfId="4" applyFont="1" applyFill="1" applyBorder="1"/>
    <xf numFmtId="167" fontId="5" fillId="8" borderId="4" xfId="4" applyNumberFormat="1" applyFont="1" applyFill="1" applyBorder="1" applyAlignment="1"/>
    <xf numFmtId="167" fontId="5" fillId="0" borderId="4" xfId="11" applyNumberFormat="1" applyFont="1" applyFill="1" applyBorder="1"/>
    <xf numFmtId="0" fontId="5" fillId="0" borderId="4" xfId="11" applyFont="1" applyFill="1" applyBorder="1"/>
    <xf numFmtId="167" fontId="5" fillId="8" borderId="4" xfId="11" applyNumberFormat="1" applyFont="1" applyFill="1" applyBorder="1"/>
    <xf numFmtId="167" fontId="5" fillId="8" borderId="0" xfId="4" applyNumberFormat="1" applyFont="1" applyFill="1" applyBorder="1" applyAlignment="1"/>
    <xf numFmtId="167" fontId="17" fillId="0" borderId="0" xfId="12" applyNumberFormat="1" applyFont="1" applyFill="1" applyBorder="1" applyAlignment="1">
      <alignment horizontal="right"/>
    </xf>
    <xf numFmtId="0" fontId="2" fillId="0" borderId="0" xfId="4" applyFill="1"/>
    <xf numFmtId="167" fontId="5" fillId="8" borderId="0" xfId="11" applyNumberFormat="1" applyFont="1" applyFill="1" applyBorder="1"/>
    <xf numFmtId="167" fontId="5" fillId="0" borderId="0" xfId="11" applyNumberFormat="1" applyFont="1" applyFill="1" applyBorder="1"/>
    <xf numFmtId="167" fontId="5" fillId="8" borderId="1" xfId="11" applyNumberFormat="1" applyFont="1" applyFill="1" applyBorder="1"/>
    <xf numFmtId="167" fontId="5" fillId="0" borderId="1" xfId="11" applyNumberFormat="1" applyFont="1" applyFill="1" applyBorder="1"/>
    <xf numFmtId="0" fontId="5" fillId="0" borderId="1" xfId="11" applyFont="1" applyFill="1" applyBorder="1"/>
    <xf numFmtId="167" fontId="26" fillId="8" borderId="0" xfId="13" applyNumberFormat="1" applyFont="1" applyFill="1" applyAlignment="1">
      <alignment horizontal="right"/>
    </xf>
    <xf numFmtId="167" fontId="17" fillId="0" borderId="0" xfId="14" applyNumberFormat="1" applyFont="1" applyFill="1" applyBorder="1" applyAlignment="1">
      <alignment horizontal="right"/>
    </xf>
    <xf numFmtId="167" fontId="5" fillId="8" borderId="0" xfId="13" applyNumberFormat="1" applyFont="1" applyFill="1" applyAlignment="1">
      <alignment horizontal="right"/>
    </xf>
    <xf numFmtId="167" fontId="2" fillId="0" borderId="0" xfId="4" applyNumberFormat="1" applyFill="1"/>
    <xf numFmtId="167" fontId="26" fillId="8" borderId="1" xfId="12" applyNumberFormat="1" applyFont="1" applyFill="1" applyBorder="1" applyAlignment="1">
      <alignment horizontal="right"/>
    </xf>
    <xf numFmtId="167" fontId="26" fillId="0" borderId="1" xfId="12" applyNumberFormat="1" applyFont="1" applyFill="1" applyBorder="1" applyAlignment="1">
      <alignment horizontal="right"/>
    </xf>
    <xf numFmtId="167" fontId="5" fillId="8" borderId="0" xfId="11" applyNumberFormat="1" applyFont="1" applyFill="1"/>
    <xf numFmtId="167" fontId="17" fillId="0" borderId="0" xfId="13" applyNumberFormat="1" applyFont="1" applyFill="1" applyAlignment="1">
      <alignment horizontal="right"/>
    </xf>
    <xf numFmtId="0" fontId="26" fillId="0" borderId="0" xfId="11" applyFont="1" applyFill="1"/>
    <xf numFmtId="167" fontId="5" fillId="0" borderId="0" xfId="11" applyNumberFormat="1" applyFont="1" applyFill="1"/>
    <xf numFmtId="0" fontId="5" fillId="0" borderId="0" xfId="11" applyFont="1" applyFill="1"/>
    <xf numFmtId="0" fontId="4" fillId="0" borderId="0" xfId="15" applyFont="1" applyFill="1"/>
    <xf numFmtId="167" fontId="27" fillId="0" borderId="0" xfId="12" applyNumberFormat="1" applyFont="1" applyFill="1" applyBorder="1" applyAlignment="1">
      <alignment horizontal="right"/>
    </xf>
    <xf numFmtId="167" fontId="5" fillId="0" borderId="1" xfId="12" applyNumberFormat="1" applyFont="1" applyFill="1" applyBorder="1" applyAlignment="1">
      <alignment horizontal="right"/>
    </xf>
    <xf numFmtId="167" fontId="5" fillId="8" borderId="0" xfId="12" applyNumberFormat="1" applyFont="1" applyFill="1" applyBorder="1" applyAlignment="1">
      <alignment horizontal="right"/>
    </xf>
    <xf numFmtId="0" fontId="5" fillId="0" borderId="0" xfId="4" quotePrefix="1" applyFont="1" applyFill="1" applyBorder="1"/>
    <xf numFmtId="167" fontId="5" fillId="8" borderId="0" xfId="4" applyNumberFormat="1" applyFont="1" applyFill="1" applyBorder="1"/>
    <xf numFmtId="0" fontId="28" fillId="0" borderId="0" xfId="15" applyFont="1" applyFill="1"/>
    <xf numFmtId="0" fontId="23" fillId="0" borderId="9" xfId="4" applyFont="1" applyBorder="1"/>
    <xf numFmtId="0" fontId="5" fillId="0" borderId="9" xfId="4" applyFont="1" applyBorder="1"/>
    <xf numFmtId="177" fontId="4" fillId="0" borderId="2" xfId="4" applyNumberFormat="1" applyFont="1" applyBorder="1" applyAlignment="1">
      <alignment horizontal="centerContinuous"/>
    </xf>
    <xf numFmtId="0" fontId="5" fillId="0" borderId="2" xfId="4" applyFont="1" applyBorder="1"/>
    <xf numFmtId="0" fontId="5" fillId="0" borderId="0" xfId="4" applyFont="1" applyAlignment="1">
      <alignment horizontal="right"/>
    </xf>
    <xf numFmtId="167" fontId="3" fillId="0" borderId="3" xfId="11" applyNumberFormat="1" applyFont="1" applyFill="1" applyBorder="1" applyAlignment="1">
      <alignment horizontal="right"/>
    </xf>
    <xf numFmtId="167" fontId="3" fillId="0" borderId="4" xfId="11" applyNumberFormat="1" applyFont="1" applyFill="1" applyBorder="1" applyAlignment="1">
      <alignment horizontal="right"/>
    </xf>
    <xf numFmtId="172" fontId="3" fillId="0" borderId="4" xfId="11" applyNumberFormat="1" applyFont="1" applyFill="1" applyBorder="1"/>
    <xf numFmtId="167" fontId="5" fillId="8" borderId="0" xfId="4" applyNumberFormat="1" applyFont="1" applyFill="1"/>
    <xf numFmtId="167" fontId="5" fillId="0" borderId="0" xfId="4" applyNumberFormat="1" applyFont="1" applyFill="1"/>
    <xf numFmtId="172" fontId="5" fillId="0" borderId="0" xfId="4" applyNumberFormat="1" applyFont="1" applyFill="1"/>
    <xf numFmtId="167" fontId="5" fillId="8" borderId="2" xfId="4" applyNumberFormat="1" applyFont="1" applyFill="1" applyBorder="1"/>
    <xf numFmtId="167" fontId="5" fillId="0" borderId="2" xfId="4" applyNumberFormat="1" applyFont="1" applyFill="1" applyBorder="1"/>
    <xf numFmtId="0" fontId="5" fillId="0" borderId="2" xfId="11" applyFont="1" applyFill="1" applyBorder="1"/>
    <xf numFmtId="172" fontId="5" fillId="0" borderId="0" xfId="11" applyNumberFormat="1" applyFont="1" applyFill="1"/>
    <xf numFmtId="0" fontId="3" fillId="0" borderId="0" xfId="11" applyFont="1" applyFill="1"/>
    <xf numFmtId="167" fontId="17" fillId="9" borderId="0" xfId="11" applyNumberFormat="1" applyFont="1" applyFill="1"/>
    <xf numFmtId="0" fontId="23" fillId="0" borderId="1" xfId="11" applyFont="1" applyFill="1" applyBorder="1" applyAlignment="1">
      <alignment horizontal="left" indent="1"/>
    </xf>
    <xf numFmtId="167" fontId="17" fillId="0" borderId="0" xfId="11" applyNumberFormat="1" applyFont="1" applyFill="1" applyBorder="1"/>
    <xf numFmtId="0" fontId="26" fillId="0" borderId="0" xfId="11" applyFont="1" applyFill="1" applyAlignment="1">
      <alignment horizontal="left"/>
    </xf>
    <xf numFmtId="167" fontId="5" fillId="8" borderId="0" xfId="11" applyNumberFormat="1" applyFont="1" applyFill="1" applyBorder="1" applyAlignment="1"/>
    <xf numFmtId="0" fontId="4" fillId="0" borderId="0" xfId="11" applyFont="1" applyFill="1"/>
    <xf numFmtId="0" fontId="26" fillId="0" borderId="0" xfId="11" applyFont="1" applyFill="1" applyAlignment="1">
      <alignment horizontal="left" indent="1"/>
    </xf>
    <xf numFmtId="167" fontId="32" fillId="8" borderId="0" xfId="11" applyNumberFormat="1" applyFont="1" applyFill="1" applyBorder="1"/>
    <xf numFmtId="10" fontId="5" fillId="0" borderId="0" xfId="11" applyNumberFormat="1" applyFont="1" applyFill="1"/>
    <xf numFmtId="0" fontId="23" fillId="0" borderId="0" xfId="11" applyFont="1" applyFill="1" applyBorder="1" applyAlignment="1">
      <alignment horizontal="left" indent="1"/>
    </xf>
    <xf numFmtId="0" fontId="5" fillId="0" borderId="0" xfId="11" applyFont="1" applyFill="1" applyBorder="1" applyAlignment="1">
      <alignment horizontal="left" indent="1"/>
    </xf>
    <xf numFmtId="0" fontId="5" fillId="9" borderId="1" xfId="11" applyFont="1" applyFill="1" applyBorder="1" applyAlignment="1">
      <alignment horizontal="left" indent="1"/>
    </xf>
    <xf numFmtId="0" fontId="5" fillId="9" borderId="0" xfId="11" applyFont="1" applyFill="1"/>
    <xf numFmtId="0" fontId="5" fillId="0" borderId="1" xfId="11" applyFont="1" applyFill="1" applyBorder="1" applyAlignment="1">
      <alignment horizontal="left" indent="1"/>
    </xf>
    <xf numFmtId="167" fontId="17" fillId="9" borderId="0" xfId="14" applyNumberFormat="1" applyFont="1" applyFill="1" applyBorder="1" applyAlignment="1">
      <alignment horizontal="right"/>
    </xf>
    <xf numFmtId="167" fontId="5" fillId="8" borderId="0" xfId="14" applyNumberFormat="1" applyFont="1" applyFill="1" applyBorder="1" applyAlignment="1">
      <alignment horizontal="right"/>
    </xf>
    <xf numFmtId="167" fontId="32" fillId="8" borderId="0" xfId="14" applyNumberFormat="1" applyFont="1" applyFill="1" applyBorder="1" applyAlignment="1">
      <alignment horizontal="right"/>
    </xf>
    <xf numFmtId="167" fontId="5" fillId="0" borderId="0" xfId="12" applyNumberFormat="1" applyFont="1" applyFill="1" applyBorder="1" applyAlignment="1">
      <alignment horizontal="right"/>
    </xf>
    <xf numFmtId="178" fontId="5" fillId="0" borderId="0" xfId="11" applyNumberFormat="1" applyFont="1" applyFill="1"/>
    <xf numFmtId="0" fontId="4" fillId="9" borderId="0" xfId="11" applyFont="1" applyFill="1" applyBorder="1"/>
    <xf numFmtId="173" fontId="26" fillId="8" borderId="10" xfId="4" applyNumberFormat="1" applyFont="1" applyFill="1" applyBorder="1" applyAlignment="1">
      <alignment horizontal="right"/>
    </xf>
    <xf numFmtId="173" fontId="26" fillId="8" borderId="11" xfId="4" applyNumberFormat="1" applyFont="1" applyFill="1" applyBorder="1" applyAlignment="1">
      <alignment horizontal="right"/>
    </xf>
    <xf numFmtId="173" fontId="26" fillId="9" borderId="11" xfId="4" applyNumberFormat="1" applyFont="1" applyFill="1" applyBorder="1" applyAlignment="1">
      <alignment horizontal="right"/>
    </xf>
    <xf numFmtId="0" fontId="5" fillId="0" borderId="11" xfId="4" applyFont="1" applyBorder="1"/>
    <xf numFmtId="0" fontId="5" fillId="9" borderId="12" xfId="11" applyFont="1" applyFill="1" applyBorder="1"/>
    <xf numFmtId="173" fontId="26" fillId="8" borderId="13" xfId="4" applyNumberFormat="1" applyFont="1" applyFill="1" applyBorder="1" applyAlignment="1">
      <alignment horizontal="right"/>
    </xf>
    <xf numFmtId="173" fontId="26" fillId="8" borderId="0" xfId="4" applyNumberFormat="1" applyFont="1" applyFill="1" applyBorder="1" applyAlignment="1">
      <alignment horizontal="right"/>
    </xf>
    <xf numFmtId="173" fontId="26" fillId="9" borderId="0" xfId="4" applyNumberFormat="1" applyFont="1" applyFill="1" applyBorder="1" applyAlignment="1">
      <alignment horizontal="right"/>
    </xf>
    <xf numFmtId="0" fontId="5" fillId="9" borderId="0" xfId="4" applyFont="1" applyFill="1" applyBorder="1"/>
    <xf numFmtId="0" fontId="5" fillId="9" borderId="14" xfId="11" applyFont="1" applyFill="1" applyBorder="1"/>
    <xf numFmtId="173" fontId="26" fillId="8" borderId="15" xfId="4" applyNumberFormat="1" applyFont="1" applyFill="1" applyBorder="1" applyAlignment="1">
      <alignment horizontal="right"/>
    </xf>
    <xf numFmtId="173" fontId="26" fillId="8" borderId="8" xfId="4" applyNumberFormat="1" applyFont="1" applyFill="1" applyBorder="1" applyAlignment="1">
      <alignment horizontal="right"/>
    </xf>
    <xf numFmtId="173" fontId="26" fillId="0" borderId="8" xfId="4" applyNumberFormat="1" applyFont="1" applyFill="1" applyBorder="1" applyAlignment="1">
      <alignment horizontal="right"/>
    </xf>
    <xf numFmtId="0" fontId="5" fillId="0" borderId="8" xfId="4" applyFont="1" applyBorder="1"/>
    <xf numFmtId="0" fontId="5" fillId="0" borderId="16" xfId="11" applyFont="1" applyFill="1" applyBorder="1"/>
    <xf numFmtId="167" fontId="5" fillId="8" borderId="10" xfId="4" applyNumberFormat="1" applyFont="1" applyFill="1" applyBorder="1" applyAlignment="1"/>
    <xf numFmtId="167" fontId="5" fillId="8" borderId="11" xfId="4" applyNumberFormat="1" applyFont="1" applyFill="1" applyBorder="1" applyAlignment="1"/>
    <xf numFmtId="0" fontId="5" fillId="0" borderId="12" xfId="11" applyFont="1" applyFill="1" applyBorder="1"/>
    <xf numFmtId="167" fontId="5" fillId="8" borderId="15" xfId="4" applyNumberFormat="1" applyFont="1" applyFill="1" applyBorder="1" applyAlignment="1"/>
    <xf numFmtId="167" fontId="5" fillId="8" borderId="8" xfId="4" applyNumberFormat="1" applyFont="1" applyFill="1" applyBorder="1" applyAlignment="1"/>
    <xf numFmtId="164" fontId="5" fillId="0" borderId="0" xfId="3" applyNumberFormat="1" applyFont="1" applyFill="1" applyBorder="1"/>
    <xf numFmtId="0" fontId="4" fillId="0" borderId="0" xfId="4" applyFont="1" applyFill="1"/>
    <xf numFmtId="167" fontId="5" fillId="8" borderId="2" xfId="4" applyNumberFormat="1" applyFont="1" applyFill="1" applyBorder="1" applyAlignment="1"/>
    <xf numFmtId="167" fontId="17" fillId="0" borderId="2" xfId="12" applyNumberFormat="1" applyFont="1" applyFill="1" applyBorder="1" applyAlignment="1">
      <alignment horizontal="right"/>
    </xf>
    <xf numFmtId="0" fontId="5" fillId="0" borderId="2" xfId="4" applyFont="1" applyFill="1" applyBorder="1"/>
    <xf numFmtId="172" fontId="5" fillId="0" borderId="0" xfId="4" applyNumberFormat="1" applyFont="1" applyFill="1" applyBorder="1" applyAlignment="1"/>
    <xf numFmtId="167" fontId="5" fillId="8" borderId="1" xfId="4" applyNumberFormat="1" applyFont="1" applyFill="1" applyBorder="1" applyAlignment="1"/>
    <xf numFmtId="167" fontId="5" fillId="0" borderId="1" xfId="4" applyNumberFormat="1" applyFont="1" applyFill="1" applyBorder="1" applyAlignment="1"/>
    <xf numFmtId="0" fontId="4" fillId="0" borderId="1" xfId="4" applyFont="1" applyFill="1" applyBorder="1"/>
    <xf numFmtId="167" fontId="17" fillId="9" borderId="0" xfId="12" applyNumberFormat="1" applyFont="1" applyFill="1" applyBorder="1" applyAlignment="1">
      <alignment horizontal="right"/>
    </xf>
    <xf numFmtId="167" fontId="32" fillId="8" borderId="0" xfId="4" applyNumberFormat="1" applyFont="1" applyFill="1"/>
    <xf numFmtId="179" fontId="3" fillId="0" borderId="0" xfId="4" applyNumberFormat="1" applyFont="1" applyFill="1" applyBorder="1"/>
    <xf numFmtId="0" fontId="3" fillId="0" borderId="0" xfId="4" applyFont="1" applyBorder="1" applyAlignment="1">
      <alignment horizontal="left" indent="1"/>
    </xf>
    <xf numFmtId="167" fontId="5" fillId="8" borderId="1" xfId="4" applyNumberFormat="1" applyFont="1" applyFill="1" applyBorder="1"/>
    <xf numFmtId="167" fontId="5" fillId="0" borderId="1" xfId="4" applyNumberFormat="1" applyFont="1" applyFill="1" applyBorder="1"/>
    <xf numFmtId="167" fontId="5" fillId="0" borderId="0" xfId="4" applyNumberFormat="1" applyFont="1" applyFill="1" applyBorder="1" applyAlignment="1"/>
    <xf numFmtId="0" fontId="5" fillId="0" borderId="0" xfId="4" applyFont="1" applyBorder="1" applyAlignment="1">
      <alignment horizontal="left" indent="1"/>
    </xf>
    <xf numFmtId="180" fontId="5" fillId="0" borderId="1" xfId="4" applyNumberFormat="1" applyFont="1" applyBorder="1"/>
    <xf numFmtId="180" fontId="4" fillId="0" borderId="1" xfId="4" applyNumberFormat="1" applyFont="1" applyFill="1" applyBorder="1" applyAlignment="1">
      <alignment horizontal="left" indent="1"/>
    </xf>
    <xf numFmtId="180" fontId="4" fillId="0" borderId="1" xfId="4" applyNumberFormat="1" applyFont="1" applyFill="1" applyBorder="1"/>
    <xf numFmtId="0" fontId="5" fillId="0" borderId="0" xfId="4" applyFont="1" applyBorder="1" applyAlignment="1">
      <alignment horizontal="left"/>
    </xf>
    <xf numFmtId="167" fontId="17" fillId="0" borderId="0" xfId="4" applyNumberFormat="1" applyFont="1" applyFill="1" applyBorder="1" applyAlignment="1"/>
    <xf numFmtId="0" fontId="4" fillId="0" borderId="1" xfId="4" applyFont="1" applyBorder="1"/>
    <xf numFmtId="9" fontId="27" fillId="0" borderId="0" xfId="3" applyFont="1" applyFill="1" applyAlignment="1">
      <alignment horizontal="right"/>
    </xf>
    <xf numFmtId="167" fontId="27" fillId="0" borderId="0" xfId="13" applyNumberFormat="1" applyFont="1" applyFill="1" applyAlignment="1">
      <alignment horizontal="right"/>
    </xf>
    <xf numFmtId="0" fontId="4" fillId="0" borderId="9" xfId="4" applyNumberFormat="1" applyFont="1" applyFill="1" applyBorder="1" applyAlignment="1"/>
    <xf numFmtId="0" fontId="5" fillId="0" borderId="0" xfId="4" applyNumberFormat="1" applyFont="1" applyFill="1" applyBorder="1" applyAlignment="1"/>
    <xf numFmtId="0" fontId="5" fillId="7" borderId="0" xfId="4" applyFont="1" applyFill="1"/>
    <xf numFmtId="181" fontId="5" fillId="0" borderId="0" xfId="4" applyNumberFormat="1" applyFont="1"/>
    <xf numFmtId="0" fontId="5" fillId="0" borderId="0" xfId="4" applyFont="1" applyFill="1" applyAlignment="1">
      <alignment horizontal="left" indent="1"/>
    </xf>
    <xf numFmtId="0" fontId="19" fillId="4" borderId="0" xfId="4" applyNumberFormat="1" applyFont="1" applyFill="1" applyBorder="1" applyAlignment="1"/>
    <xf numFmtId="0" fontId="33" fillId="0" borderId="0" xfId="4" applyFont="1"/>
    <xf numFmtId="0" fontId="2" fillId="0" borderId="0" xfId="4" applyFont="1" applyFill="1"/>
    <xf numFmtId="0" fontId="3" fillId="0" borderId="0" xfId="4" quotePrefix="1" applyFont="1" applyFill="1"/>
    <xf numFmtId="181" fontId="27" fillId="0" borderId="0" xfId="4" applyNumberFormat="1" applyFont="1" applyFill="1" applyBorder="1"/>
    <xf numFmtId="9" fontId="5" fillId="0" borderId="0" xfId="10" applyFont="1" applyFill="1" applyBorder="1" applyAlignment="1">
      <alignment horizontal="right"/>
    </xf>
    <xf numFmtId="173" fontId="5" fillId="0" borderId="0" xfId="2" applyFont="1" applyFill="1" applyBorder="1" applyAlignment="1">
      <alignment horizontal="right"/>
    </xf>
    <xf numFmtId="0" fontId="5" fillId="0" borderId="0" xfId="4" applyFont="1" applyAlignment="1">
      <alignment horizontal="left" indent="1"/>
    </xf>
    <xf numFmtId="0" fontId="5" fillId="0" borderId="0" xfId="4" quotePrefix="1" applyFont="1" applyFill="1"/>
    <xf numFmtId="0" fontId="5" fillId="4" borderId="0" xfId="4" applyNumberFormat="1" applyFont="1" applyFill="1" applyBorder="1" applyAlignment="1"/>
    <xf numFmtId="0" fontId="34" fillId="0" borderId="0" xfId="0" applyFont="1"/>
    <xf numFmtId="167" fontId="17" fillId="2" borderId="17" xfId="4" applyNumberFormat="1" applyFont="1" applyFill="1" applyBorder="1" applyAlignment="1"/>
    <xf numFmtId="167" fontId="17" fillId="2" borderId="18" xfId="4" applyNumberFormat="1" applyFont="1" applyFill="1" applyBorder="1" applyAlignment="1"/>
    <xf numFmtId="1" fontId="5" fillId="0" borderId="18" xfId="4" applyNumberFormat="1" applyFont="1" applyBorder="1"/>
    <xf numFmtId="0" fontId="5" fillId="0" borderId="18" xfId="4" applyFont="1" applyBorder="1"/>
    <xf numFmtId="0" fontId="5" fillId="0" borderId="19" xfId="11" applyFont="1" applyFill="1" applyBorder="1"/>
    <xf numFmtId="167" fontId="17" fillId="2" borderId="20" xfId="4" applyNumberFormat="1" applyFont="1" applyFill="1" applyBorder="1" applyAlignment="1"/>
    <xf numFmtId="167" fontId="17" fillId="2" borderId="1" xfId="4" applyNumberFormat="1" applyFont="1" applyFill="1" applyBorder="1" applyAlignment="1"/>
    <xf numFmtId="0" fontId="5" fillId="0" borderId="21" xfId="11" applyFont="1" applyFill="1" applyBorder="1"/>
    <xf numFmtId="182" fontId="27" fillId="0" borderId="0" xfId="4" applyNumberFormat="1" applyFont="1" applyFill="1"/>
    <xf numFmtId="182" fontId="5" fillId="0" borderId="0" xfId="4" applyNumberFormat="1" applyFont="1" applyFill="1" applyBorder="1"/>
    <xf numFmtId="175" fontId="17" fillId="2" borderId="0" xfId="4" applyNumberFormat="1" applyFont="1" applyFill="1"/>
    <xf numFmtId="183" fontId="26" fillId="0" borderId="0" xfId="10" applyNumberFormat="1" applyFont="1" applyFill="1" applyAlignment="1">
      <alignment horizontal="right"/>
    </xf>
    <xf numFmtId="0" fontId="5" fillId="0" borderId="0" xfId="4" applyFont="1" applyAlignment="1">
      <alignment horizontal="left"/>
    </xf>
    <xf numFmtId="0" fontId="5" fillId="0" borderId="9" xfId="4" applyFont="1" applyFill="1" applyBorder="1"/>
    <xf numFmtId="0" fontId="4" fillId="0" borderId="9" xfId="4" applyFont="1" applyFill="1" applyBorder="1" applyAlignment="1">
      <alignment horizontal="left"/>
    </xf>
    <xf numFmtId="182" fontId="5" fillId="0" borderId="0" xfId="4" applyNumberFormat="1" applyFont="1" applyAlignment="1">
      <alignment horizontal="right"/>
    </xf>
    <xf numFmtId="182" fontId="5" fillId="8" borderId="1" xfId="4" applyNumberFormat="1" applyFont="1" applyFill="1" applyBorder="1"/>
    <xf numFmtId="182" fontId="5" fillId="0" borderId="1" xfId="4" applyNumberFormat="1" applyFont="1" applyFill="1" applyBorder="1"/>
    <xf numFmtId="0" fontId="5" fillId="0" borderId="1" xfId="4" applyFont="1" applyBorder="1" applyAlignment="1">
      <alignment horizontal="left"/>
    </xf>
    <xf numFmtId="182" fontId="17" fillId="9" borderId="0" xfId="4" applyNumberFormat="1" applyFont="1" applyFill="1" applyBorder="1"/>
    <xf numFmtId="182" fontId="5" fillId="8" borderId="0" xfId="4" applyNumberFormat="1" applyFont="1" applyFill="1" applyBorder="1"/>
    <xf numFmtId="168" fontId="5" fillId="8" borderId="1" xfId="4" applyNumberFormat="1" applyFont="1" applyFill="1" applyBorder="1"/>
    <xf numFmtId="182" fontId="5" fillId="8" borderId="2" xfId="4" applyNumberFormat="1" applyFont="1" applyFill="1" applyBorder="1"/>
    <xf numFmtId="182" fontId="5" fillId="0" borderId="2" xfId="4" applyNumberFormat="1" applyFont="1" applyFill="1" applyBorder="1"/>
    <xf numFmtId="0" fontId="5" fillId="0" borderId="2" xfId="4" applyFont="1" applyBorder="1" applyAlignment="1">
      <alignment horizontal="left"/>
    </xf>
    <xf numFmtId="175" fontId="17" fillId="0" borderId="0" xfId="4" applyNumberFormat="1" applyFont="1" applyFill="1" applyBorder="1" applyAlignment="1">
      <alignment horizontal="right"/>
    </xf>
    <xf numFmtId="175" fontId="5" fillId="0" borderId="0" xfId="4" applyNumberFormat="1" applyFont="1" applyFill="1" applyBorder="1"/>
    <xf numFmtId="0" fontId="5" fillId="0" borderId="0" xfId="4" applyFont="1" applyFill="1" applyBorder="1" applyAlignment="1">
      <alignment horizontal="left" indent="1"/>
    </xf>
    <xf numFmtId="164" fontId="17" fillId="2" borderId="0" xfId="3" applyNumberFormat="1" applyFont="1" applyFill="1"/>
    <xf numFmtId="0" fontId="4" fillId="0" borderId="9" xfId="4" applyFont="1" applyBorder="1" applyAlignment="1">
      <alignment horizontal="left"/>
    </xf>
    <xf numFmtId="182" fontId="5" fillId="0" borderId="0" xfId="4" applyNumberFormat="1" applyFont="1" applyFill="1"/>
    <xf numFmtId="175" fontId="26" fillId="8" borderId="0" xfId="12" applyNumberFormat="1" applyFont="1" applyFill="1" applyBorder="1" applyAlignment="1">
      <alignment horizontal="right"/>
    </xf>
    <xf numFmtId="175" fontId="26" fillId="0" borderId="0" xfId="12" applyNumberFormat="1" applyFont="1" applyFill="1" applyBorder="1" applyAlignment="1">
      <alignment horizontal="right"/>
    </xf>
    <xf numFmtId="0" fontId="5" fillId="0" borderId="1" xfId="4" applyFont="1" applyFill="1" applyBorder="1" applyAlignment="1">
      <alignment horizontal="left" indent="1"/>
    </xf>
    <xf numFmtId="175" fontId="26" fillId="0" borderId="0" xfId="10" applyNumberFormat="1" applyFont="1" applyFill="1" applyBorder="1" applyAlignment="1">
      <alignment horizontal="right"/>
    </xf>
    <xf numFmtId="0" fontId="5" fillId="0" borderId="1" xfId="4" applyFont="1" applyFill="1" applyBorder="1"/>
    <xf numFmtId="175" fontId="5" fillId="0" borderId="0" xfId="3" applyNumberFormat="1" applyFont="1" applyFill="1" applyBorder="1" applyAlignment="1">
      <alignment horizontal="right"/>
    </xf>
    <xf numFmtId="0" fontId="5" fillId="0" borderId="11" xfId="4" applyFont="1" applyBorder="1" applyAlignment="1">
      <alignment horizontal="left"/>
    </xf>
    <xf numFmtId="9" fontId="5" fillId="0" borderId="0" xfId="3" applyFont="1" applyFill="1" applyBorder="1"/>
    <xf numFmtId="175" fontId="26" fillId="0" borderId="0" xfId="3" applyNumberFormat="1" applyFont="1" applyFill="1" applyAlignment="1">
      <alignment horizontal="right"/>
    </xf>
    <xf numFmtId="0" fontId="5" fillId="0" borderId="0" xfId="4" applyFont="1" applyFill="1" applyBorder="1" applyAlignment="1">
      <alignment horizontal="left"/>
    </xf>
    <xf numFmtId="175" fontId="26" fillId="8" borderId="0" xfId="3" applyNumberFormat="1" applyFont="1" applyFill="1" applyAlignment="1">
      <alignment horizontal="right"/>
    </xf>
    <xf numFmtId="168" fontId="5" fillId="8" borderId="1" xfId="1" applyNumberFormat="1" applyFont="1" applyFill="1" applyBorder="1"/>
    <xf numFmtId="168" fontId="5" fillId="0" borderId="1" xfId="1" applyNumberFormat="1" applyFont="1" applyBorder="1"/>
    <xf numFmtId="175" fontId="5" fillId="8" borderId="0" xfId="3" applyNumberFormat="1" applyFont="1" applyFill="1" applyBorder="1" applyAlignment="1">
      <alignment horizontal="right"/>
    </xf>
    <xf numFmtId="167" fontId="5" fillId="0" borderId="0" xfId="16" applyNumberFormat="1" applyFont="1" applyFill="1" applyBorder="1" applyAlignment="1">
      <alignment horizontal="right"/>
    </xf>
    <xf numFmtId="175" fontId="17" fillId="2" borderId="0" xfId="3" applyNumberFormat="1" applyFont="1" applyFill="1" applyBorder="1"/>
    <xf numFmtId="0" fontId="4" fillId="0" borderId="0" xfId="4" applyFont="1" applyBorder="1" applyAlignment="1">
      <alignment horizontal="left"/>
    </xf>
    <xf numFmtId="167" fontId="5" fillId="8" borderId="1" xfId="16" applyNumberFormat="1" applyFont="1" applyFill="1" applyBorder="1" applyAlignment="1">
      <alignment horizontal="right"/>
    </xf>
    <xf numFmtId="167" fontId="5" fillId="0" borderId="1" xfId="16" applyNumberFormat="1" applyFont="1" applyFill="1" applyBorder="1" applyAlignment="1">
      <alignment horizontal="right"/>
    </xf>
    <xf numFmtId="1" fontId="27" fillId="0" borderId="1" xfId="4" applyNumberFormat="1" applyFont="1" applyBorder="1"/>
    <xf numFmtId="0" fontId="5" fillId="0" borderId="1" xfId="4" applyFont="1" applyBorder="1" applyAlignment="1"/>
    <xf numFmtId="0" fontId="20" fillId="0" borderId="0" xfId="4" applyFont="1" applyBorder="1"/>
    <xf numFmtId="175" fontId="5" fillId="9" borderId="0" xfId="4" applyNumberFormat="1" applyFont="1" applyFill="1"/>
    <xf numFmtId="1" fontId="27" fillId="0" borderId="0" xfId="4" applyNumberFormat="1" applyFont="1" applyBorder="1"/>
    <xf numFmtId="0" fontId="3" fillId="0" borderId="0" xfId="4" applyFont="1" applyAlignment="1">
      <alignment horizontal="left" indent="2"/>
    </xf>
    <xf numFmtId="175" fontId="5" fillId="8" borderId="0" xfId="4" applyNumberFormat="1" applyFont="1" applyFill="1"/>
    <xf numFmtId="175" fontId="5" fillId="0" borderId="0" xfId="4" applyNumberFormat="1" applyFont="1" applyFill="1"/>
    <xf numFmtId="175" fontId="5" fillId="0" borderId="0" xfId="4" applyNumberFormat="1" applyFont="1" applyFill="1" applyAlignment="1">
      <alignment horizontal="right"/>
    </xf>
    <xf numFmtId="0" fontId="3" fillId="0" borderId="0" xfId="4" applyFont="1" applyBorder="1" applyAlignment="1">
      <alignment horizontal="left"/>
    </xf>
    <xf numFmtId="167" fontId="5" fillId="8" borderId="0" xfId="16" applyNumberFormat="1" applyFont="1" applyFill="1" applyBorder="1" applyAlignment="1">
      <alignment horizontal="right"/>
    </xf>
    <xf numFmtId="0" fontId="5" fillId="0" borderId="0" xfId="4" applyFont="1" applyAlignment="1"/>
    <xf numFmtId="167" fontId="5" fillId="0" borderId="9" xfId="4" applyNumberFormat="1" applyFont="1" applyFill="1" applyBorder="1"/>
    <xf numFmtId="1" fontId="27" fillId="0" borderId="9" xfId="4" applyNumberFormat="1" applyFont="1" applyBorder="1"/>
    <xf numFmtId="0" fontId="2" fillId="0" borderId="9" xfId="4" applyBorder="1"/>
    <xf numFmtId="175" fontId="17" fillId="0" borderId="0" xfId="4" applyNumberFormat="1" applyFont="1" applyFill="1"/>
    <xf numFmtId="164" fontId="5" fillId="0" borderId="0" xfId="4" applyNumberFormat="1" applyFont="1" applyFill="1"/>
    <xf numFmtId="0" fontId="3" fillId="0" borderId="0" xfId="4" applyFont="1" applyFill="1" applyBorder="1" applyAlignment="1">
      <alignment horizontal="left" indent="2"/>
    </xf>
    <xf numFmtId="2" fontId="2" fillId="0" borderId="0" xfId="4" applyNumberFormat="1"/>
    <xf numFmtId="164" fontId="5" fillId="8" borderId="0" xfId="3" applyNumberFormat="1" applyFont="1" applyFill="1" applyBorder="1"/>
    <xf numFmtId="0" fontId="3" fillId="0" borderId="0" xfId="4" applyFont="1" applyAlignment="1">
      <alignment horizontal="left"/>
    </xf>
    <xf numFmtId="1" fontId="27" fillId="0" borderId="0" xfId="4" applyNumberFormat="1" applyFont="1"/>
    <xf numFmtId="3" fontId="5" fillId="8" borderId="1" xfId="4" applyNumberFormat="1" applyFont="1" applyFill="1" applyBorder="1"/>
    <xf numFmtId="175" fontId="5" fillId="0" borderId="9" xfId="4" applyNumberFormat="1" applyFont="1" applyFill="1" applyBorder="1" applyAlignment="1">
      <alignment horizontal="right"/>
    </xf>
    <xf numFmtId="175" fontId="5" fillId="0" borderId="9" xfId="4" applyNumberFormat="1" applyFont="1" applyFill="1" applyBorder="1"/>
    <xf numFmtId="175" fontId="5" fillId="0" borderId="0" xfId="4" applyNumberFormat="1" applyFont="1" applyFill="1" applyBorder="1" applyAlignment="1">
      <alignment horizontal="right"/>
    </xf>
    <xf numFmtId="0" fontId="20" fillId="0" borderId="2" xfId="4" applyFont="1" applyBorder="1"/>
    <xf numFmtId="0" fontId="5" fillId="9" borderId="0" xfId="4" applyFont="1" applyFill="1"/>
    <xf numFmtId="0" fontId="5" fillId="9" borderId="1" xfId="4" applyFont="1" applyFill="1" applyBorder="1"/>
    <xf numFmtId="15" fontId="5" fillId="9" borderId="0" xfId="4" applyNumberFormat="1" applyFont="1" applyFill="1"/>
    <xf numFmtId="15" fontId="35" fillId="9" borderId="1" xfId="4" applyNumberFormat="1" applyFont="1" applyFill="1" applyBorder="1"/>
    <xf numFmtId="1" fontId="35" fillId="9" borderId="0" xfId="4" applyNumberFormat="1" applyFont="1" applyFill="1"/>
    <xf numFmtId="1" fontId="5" fillId="9" borderId="0" xfId="4" applyNumberFormat="1" applyFont="1" applyFill="1"/>
    <xf numFmtId="15" fontId="35" fillId="9" borderId="0" xfId="4" applyNumberFormat="1" applyFont="1" applyFill="1"/>
    <xf numFmtId="0" fontId="4" fillId="0" borderId="9" xfId="4" applyFont="1" applyBorder="1"/>
    <xf numFmtId="0" fontId="5" fillId="0" borderId="2" xfId="4" applyNumberFormat="1" applyFont="1" applyBorder="1" applyAlignment="1">
      <alignment horizontal="centerContinuous"/>
    </xf>
    <xf numFmtId="0" fontId="4" fillId="0" borderId="2" xfId="4" applyNumberFormat="1" applyFont="1" applyBorder="1" applyAlignment="1">
      <alignment horizontal="centerContinuous"/>
    </xf>
    <xf numFmtId="0" fontId="5" fillId="0" borderId="0" xfId="4" applyNumberFormat="1" applyFont="1" applyBorder="1"/>
    <xf numFmtId="176" fontId="19" fillId="0" borderId="0" xfId="4" applyNumberFormat="1" applyFont="1" applyFill="1" applyBorder="1" applyAlignment="1">
      <alignment horizontal="center"/>
    </xf>
    <xf numFmtId="0" fontId="20" fillId="0" borderId="0" xfId="4" applyFont="1" applyFill="1" applyBorder="1"/>
    <xf numFmtId="182" fontId="5" fillId="9" borderId="0" xfId="4" applyNumberFormat="1" applyFont="1" applyFill="1"/>
    <xf numFmtId="182" fontId="5" fillId="9" borderId="0" xfId="4" applyNumberFormat="1" applyFont="1" applyFill="1" applyBorder="1"/>
    <xf numFmtId="182" fontId="5" fillId="11" borderId="4" xfId="16" applyNumberFormat="1" applyFont="1" applyFill="1" applyBorder="1" applyAlignment="1">
      <alignment horizontal="right"/>
    </xf>
    <xf numFmtId="0" fontId="5" fillId="9" borderId="0" xfId="4" applyFont="1" applyFill="1" applyBorder="1" applyAlignment="1">
      <alignment horizontal="left"/>
    </xf>
    <xf numFmtId="182" fontId="5" fillId="9" borderId="2" xfId="16" applyNumberFormat="1" applyFont="1" applyFill="1" applyBorder="1" applyAlignment="1">
      <alignment horizontal="right"/>
    </xf>
    <xf numFmtId="182" fontId="5" fillId="0" borderId="2" xfId="16" applyNumberFormat="1" applyFont="1" applyFill="1" applyBorder="1" applyAlignment="1">
      <alignment horizontal="right"/>
    </xf>
    <xf numFmtId="182" fontId="5" fillId="12" borderId="0" xfId="16" applyNumberFormat="1" applyFont="1" applyFill="1" applyBorder="1" applyAlignment="1">
      <alignment horizontal="right"/>
    </xf>
    <xf numFmtId="0" fontId="2" fillId="0" borderId="2" xfId="4" applyBorder="1"/>
    <xf numFmtId="182" fontId="5" fillId="9" borderId="0" xfId="16" applyNumberFormat="1" applyFont="1" applyFill="1" applyBorder="1" applyAlignment="1">
      <alignment horizontal="right"/>
    </xf>
    <xf numFmtId="182" fontId="5" fillId="0" borderId="1" xfId="16" applyNumberFormat="1" applyFont="1" applyFill="1" applyBorder="1" applyAlignment="1">
      <alignment horizontal="right"/>
    </xf>
    <xf numFmtId="182" fontId="5" fillId="11" borderId="1" xfId="16" applyNumberFormat="1" applyFont="1" applyFill="1" applyBorder="1" applyAlignment="1">
      <alignment horizontal="right"/>
    </xf>
    <xf numFmtId="0" fontId="5" fillId="9" borderId="1" xfId="4" applyFont="1" applyFill="1" applyBorder="1" applyAlignment="1">
      <alignment horizontal="left"/>
    </xf>
    <xf numFmtId="182" fontId="5" fillId="0" borderId="0" xfId="16" applyNumberFormat="1" applyFont="1" applyFill="1" applyBorder="1" applyAlignment="1">
      <alignment horizontal="right"/>
    </xf>
    <xf numFmtId="182" fontId="5" fillId="12" borderId="1" xfId="16" applyNumberFormat="1" applyFont="1" applyFill="1" applyBorder="1" applyAlignment="1">
      <alignment horizontal="right"/>
    </xf>
    <xf numFmtId="182" fontId="5" fillId="0" borderId="2" xfId="16" applyNumberFormat="1" applyFont="1" applyFill="1" applyBorder="1"/>
    <xf numFmtId="182" fontId="5" fillId="11" borderId="2" xfId="16" applyNumberFormat="1" applyFont="1" applyFill="1" applyBorder="1" applyAlignment="1">
      <alignment horizontal="right"/>
    </xf>
    <xf numFmtId="182" fontId="35" fillId="2" borderId="0" xfId="16" applyNumberFormat="1" applyFont="1" applyFill="1" applyBorder="1" applyAlignment="1">
      <alignment horizontal="right"/>
    </xf>
    <xf numFmtId="182" fontId="5" fillId="0" borderId="0" xfId="16" applyNumberFormat="1" applyFont="1" applyFill="1" applyBorder="1"/>
    <xf numFmtId="182" fontId="5" fillId="11" borderId="0" xfId="16" applyNumberFormat="1" applyFont="1" applyFill="1" applyBorder="1" applyAlignment="1">
      <alignment horizontal="right"/>
    </xf>
    <xf numFmtId="0" fontId="25" fillId="0" borderId="9" xfId="4" applyFont="1" applyBorder="1" applyAlignment="1">
      <alignment horizontal="left" indent="1"/>
    </xf>
    <xf numFmtId="9" fontId="5" fillId="0" borderId="0" xfId="4" applyNumberFormat="1" applyFont="1"/>
    <xf numFmtId="9" fontId="5" fillId="0" borderId="0" xfId="4" applyNumberFormat="1" applyFont="1" applyFill="1"/>
    <xf numFmtId="182" fontId="4" fillId="8" borderId="1" xfId="4" applyNumberFormat="1" applyFont="1" applyFill="1" applyBorder="1"/>
    <xf numFmtId="182" fontId="4" fillId="0" borderId="1" xfId="4" applyNumberFormat="1" applyFont="1" applyFill="1" applyBorder="1"/>
    <xf numFmtId="0" fontId="4" fillId="0" borderId="1" xfId="4" applyFont="1" applyFill="1" applyBorder="1" applyAlignment="1">
      <alignment horizontal="left"/>
    </xf>
    <xf numFmtId="175" fontId="27" fillId="2" borderId="0" xfId="16" applyNumberFormat="1" applyFont="1" applyFill="1" applyBorder="1" applyAlignment="1">
      <alignment vertical="center"/>
    </xf>
    <xf numFmtId="0" fontId="4" fillId="0" borderId="0" xfId="4" applyFont="1"/>
    <xf numFmtId="0" fontId="5" fillId="0" borderId="1" xfId="4" applyFont="1" applyFill="1" applyBorder="1" applyAlignment="1">
      <alignment horizontal="left"/>
    </xf>
    <xf numFmtId="182" fontId="5" fillId="8" borderId="4" xfId="16" applyNumberFormat="1" applyFont="1" applyFill="1" applyBorder="1" applyAlignment="1">
      <alignment horizontal="right"/>
    </xf>
    <xf numFmtId="182" fontId="5" fillId="0" borderId="4" xfId="16" applyNumberFormat="1" applyFont="1" applyFill="1" applyBorder="1" applyAlignment="1">
      <alignment horizontal="right"/>
    </xf>
    <xf numFmtId="0" fontId="2" fillId="0" borderId="4" xfId="4" applyBorder="1"/>
    <xf numFmtId="0" fontId="5" fillId="0" borderId="4" xfId="4" applyFont="1" applyBorder="1" applyAlignment="1">
      <alignment horizontal="left"/>
    </xf>
    <xf numFmtId="182" fontId="27" fillId="0" borderId="0" xfId="16" applyNumberFormat="1" applyFont="1" applyFill="1" applyBorder="1"/>
    <xf numFmtId="0" fontId="4" fillId="0" borderId="0" xfId="4" applyFont="1" applyFill="1" applyBorder="1" applyAlignment="1">
      <alignment horizontal="left"/>
    </xf>
    <xf numFmtId="182" fontId="4" fillId="9" borderId="1" xfId="4" applyNumberFormat="1" applyFont="1" applyFill="1" applyBorder="1"/>
    <xf numFmtId="0" fontId="4" fillId="0" borderId="0" xfId="4" quotePrefix="1" applyFont="1" applyFill="1"/>
    <xf numFmtId="0" fontId="5" fillId="0" borderId="0" xfId="4" applyFont="1" applyAlignment="1" applyProtection="1">
      <alignment horizontal="left"/>
    </xf>
    <xf numFmtId="182" fontId="5" fillId="8" borderId="0" xfId="4" quotePrefix="1" applyNumberFormat="1" applyFont="1" applyFill="1" applyBorder="1"/>
    <xf numFmtId="182" fontId="5" fillId="9" borderId="0" xfId="4" quotePrefix="1" applyNumberFormat="1" applyFont="1" applyFill="1" applyBorder="1"/>
    <xf numFmtId="0" fontId="5" fillId="0" borderId="0" xfId="4" quotePrefix="1" applyFont="1" applyBorder="1" applyAlignment="1" applyProtection="1">
      <alignment horizontal="left"/>
    </xf>
    <xf numFmtId="0" fontId="2" fillId="0" borderId="0" xfId="4" applyFont="1" applyBorder="1"/>
    <xf numFmtId="182" fontId="5" fillId="9" borderId="1" xfId="4" applyNumberFormat="1" applyFont="1" applyFill="1" applyBorder="1"/>
    <xf numFmtId="182" fontId="17" fillId="2" borderId="0" xfId="4" applyNumberFormat="1" applyFont="1" applyFill="1" applyBorder="1"/>
    <xf numFmtId="182" fontId="4" fillId="0" borderId="0" xfId="4" applyNumberFormat="1" applyFont="1" applyFill="1" applyBorder="1"/>
    <xf numFmtId="0" fontId="4" fillId="0" borderId="0" xfId="4" applyFont="1" applyBorder="1" applyAlignment="1" applyProtection="1">
      <alignment horizontal="left" indent="1"/>
    </xf>
    <xf numFmtId="0" fontId="4" fillId="0" borderId="1" xfId="4" applyFont="1" applyBorder="1" applyAlignment="1" applyProtection="1">
      <alignment horizontal="left"/>
    </xf>
    <xf numFmtId="182" fontId="4" fillId="8" borderId="0" xfId="4" applyNumberFormat="1" applyFont="1" applyFill="1" applyBorder="1"/>
    <xf numFmtId="0" fontId="5" fillId="0" borderId="0" xfId="4" applyFont="1" applyBorder="1" applyAlignment="1" applyProtection="1">
      <alignment horizontal="left"/>
    </xf>
    <xf numFmtId="182" fontId="5" fillId="0" borderId="0" xfId="4" quotePrefix="1" applyNumberFormat="1" applyFont="1" applyFill="1" applyBorder="1"/>
    <xf numFmtId="0" fontId="5" fillId="0" borderId="1" xfId="4" applyFont="1" applyBorder="1" applyAlignment="1" applyProtection="1">
      <alignment horizontal="left"/>
    </xf>
    <xf numFmtId="182" fontId="5" fillId="0" borderId="0" xfId="4" applyNumberFormat="1" applyFont="1" applyBorder="1"/>
    <xf numFmtId="185" fontId="5" fillId="0" borderId="0" xfId="4" applyNumberFormat="1" applyFont="1" applyFill="1" applyBorder="1"/>
    <xf numFmtId="0" fontId="5" fillId="0" borderId="0" xfId="4" applyFont="1" applyAlignment="1" applyProtection="1">
      <alignment horizontal="left" indent="1"/>
    </xf>
    <xf numFmtId="182" fontId="4" fillId="9" borderId="0" xfId="4" applyNumberFormat="1" applyFont="1" applyFill="1" applyBorder="1"/>
    <xf numFmtId="0" fontId="25" fillId="9" borderId="0" xfId="4" applyFont="1" applyFill="1" applyBorder="1"/>
    <xf numFmtId="0" fontId="4" fillId="9" borderId="0" xfId="4" applyFont="1" applyFill="1" applyBorder="1"/>
    <xf numFmtId="0" fontId="2" fillId="9" borderId="0" xfId="4" applyFont="1" applyFill="1" applyBorder="1"/>
    <xf numFmtId="0" fontId="2" fillId="9" borderId="1" xfId="4" applyFont="1" applyFill="1" applyBorder="1"/>
    <xf numFmtId="182" fontId="37" fillId="0" borderId="0" xfId="16" applyNumberFormat="1" applyFont="1" applyFill="1" applyBorder="1" applyAlignment="1">
      <alignment horizontal="right"/>
    </xf>
    <xf numFmtId="186" fontId="5" fillId="2" borderId="23" xfId="16" applyNumberFormat="1" applyFont="1" applyFill="1" applyBorder="1"/>
    <xf numFmtId="0" fontId="5" fillId="0" borderId="0" xfId="4" applyFont="1" applyBorder="1" applyAlignment="1">
      <alignment horizontal="right"/>
    </xf>
    <xf numFmtId="182" fontId="5" fillId="8" borderId="11" xfId="16" applyNumberFormat="1" applyFont="1" applyFill="1" applyBorder="1" applyAlignment="1">
      <alignment horizontal="right"/>
    </xf>
    <xf numFmtId="182" fontId="5" fillId="9" borderId="11" xfId="16" applyNumberFormat="1" applyFont="1" applyFill="1" applyBorder="1" applyAlignment="1">
      <alignment horizontal="right"/>
    </xf>
    <xf numFmtId="182" fontId="5" fillId="8" borderId="0" xfId="16" applyNumberFormat="1" applyFont="1" applyFill="1" applyBorder="1" applyAlignment="1">
      <alignment horizontal="right"/>
    </xf>
    <xf numFmtId="165" fontId="5" fillId="8" borderId="11" xfId="16" applyNumberFormat="1" applyFont="1" applyFill="1" applyBorder="1" applyAlignment="1">
      <alignment horizontal="right"/>
    </xf>
    <xf numFmtId="165" fontId="5" fillId="9" borderId="11" xfId="16" applyNumberFormat="1" applyFont="1" applyFill="1" applyBorder="1" applyAlignment="1">
      <alignment horizontal="right"/>
    </xf>
    <xf numFmtId="174" fontId="5" fillId="8" borderId="0" xfId="4" applyNumberFormat="1" applyFont="1" applyFill="1" applyBorder="1"/>
    <xf numFmtId="174" fontId="5" fillId="0" borderId="0" xfId="4" applyNumberFormat="1" applyFont="1" applyFill="1" applyBorder="1"/>
    <xf numFmtId="165" fontId="5" fillId="8" borderId="24" xfId="16" applyNumberFormat="1" applyFont="1" applyFill="1" applyBorder="1" applyAlignment="1">
      <alignment horizontal="right"/>
    </xf>
    <xf numFmtId="165" fontId="5" fillId="9" borderId="24" xfId="16" applyNumberFormat="1" applyFont="1" applyFill="1" applyBorder="1" applyAlignment="1">
      <alignment horizontal="right"/>
    </xf>
    <xf numFmtId="182" fontId="5" fillId="9" borderId="24" xfId="16" applyNumberFormat="1" applyFont="1" applyFill="1" applyBorder="1" applyAlignment="1">
      <alignment horizontal="right"/>
    </xf>
    <xf numFmtId="0" fontId="5" fillId="0" borderId="24" xfId="4" applyFont="1" applyBorder="1"/>
    <xf numFmtId="0" fontId="5" fillId="0" borderId="24" xfId="4" applyFont="1" applyBorder="1" applyAlignment="1">
      <alignment horizontal="left"/>
    </xf>
    <xf numFmtId="187" fontId="5" fillId="8" borderId="0" xfId="4" applyNumberFormat="1" applyFont="1" applyFill="1" applyBorder="1"/>
    <xf numFmtId="188" fontId="17" fillId="2" borderId="0" xfId="4" applyNumberFormat="1" applyFont="1" applyFill="1" applyBorder="1"/>
    <xf numFmtId="182" fontId="23" fillId="0" borderId="0" xfId="4" applyNumberFormat="1" applyFont="1" applyBorder="1" applyAlignment="1">
      <alignment horizontal="right"/>
    </xf>
    <xf numFmtId="175" fontId="27" fillId="13" borderId="1" xfId="16" applyNumberFormat="1" applyFont="1" applyFill="1" applyBorder="1" applyAlignment="1">
      <alignment vertical="center"/>
    </xf>
    <xf numFmtId="175" fontId="27" fillId="13" borderId="0" xfId="16" applyNumberFormat="1" applyFont="1" applyFill="1" applyBorder="1" applyAlignment="1">
      <alignment vertical="center"/>
    </xf>
    <xf numFmtId="175" fontId="27" fillId="0" borderId="0" xfId="16" applyNumberFormat="1" applyFont="1" applyFill="1" applyBorder="1" applyAlignment="1">
      <alignment vertical="center"/>
    </xf>
    <xf numFmtId="182" fontId="5" fillId="13" borderId="1" xfId="4" applyNumberFormat="1" applyFont="1" applyFill="1" applyBorder="1"/>
    <xf numFmtId="182" fontId="5" fillId="13" borderId="0" xfId="4" applyNumberFormat="1" applyFont="1" applyFill="1" applyBorder="1"/>
    <xf numFmtId="4" fontId="5" fillId="0" borderId="0" xfId="4" applyNumberFormat="1" applyFont="1" applyBorder="1"/>
    <xf numFmtId="4" fontId="2" fillId="0" borderId="0" xfId="4" applyNumberFormat="1" applyBorder="1"/>
    <xf numFmtId="4" fontId="5" fillId="13" borderId="0" xfId="4" applyNumberFormat="1" applyFont="1" applyFill="1" applyBorder="1"/>
    <xf numFmtId="4" fontId="5" fillId="0" borderId="0" xfId="4" applyNumberFormat="1" applyFont="1" applyBorder="1" applyAlignment="1" applyProtection="1">
      <alignment horizontal="left"/>
    </xf>
    <xf numFmtId="4" fontId="5" fillId="0" borderId="0" xfId="4" quotePrefix="1" applyNumberFormat="1" applyFont="1" applyFill="1" applyBorder="1"/>
    <xf numFmtId="182" fontId="27" fillId="13" borderId="0" xfId="16" applyNumberFormat="1" applyFont="1" applyFill="1" applyBorder="1"/>
    <xf numFmtId="182" fontId="27" fillId="13" borderId="2" xfId="16" applyNumberFormat="1" applyFont="1" applyFill="1" applyBorder="1"/>
    <xf numFmtId="0" fontId="5" fillId="0" borderId="2" xfId="4" applyFont="1" applyBorder="1" applyAlignment="1" applyProtection="1">
      <alignment horizontal="left"/>
    </xf>
    <xf numFmtId="164" fontId="17" fillId="2" borderId="0" xfId="3" applyNumberFormat="1" applyFont="1" applyFill="1" applyBorder="1"/>
    <xf numFmtId="175" fontId="32" fillId="0" borderId="0" xfId="10" applyNumberFormat="1" applyFont="1" applyFill="1" applyBorder="1" applyAlignment="1"/>
    <xf numFmtId="164" fontId="5" fillId="13" borderId="0" xfId="3" quotePrefix="1" applyNumberFormat="1" applyFont="1" applyFill="1" applyBorder="1"/>
    <xf numFmtId="182" fontId="5" fillId="13" borderId="0" xfId="4" quotePrefix="1" applyNumberFormat="1" applyFont="1" applyFill="1" applyBorder="1"/>
    <xf numFmtId="182" fontId="17" fillId="2" borderId="1" xfId="4" applyNumberFormat="1" applyFont="1" applyFill="1" applyBorder="1"/>
    <xf numFmtId="182" fontId="5" fillId="13" borderId="2" xfId="4" applyNumberFormat="1" applyFont="1" applyFill="1" applyBorder="1"/>
    <xf numFmtId="0" fontId="5" fillId="0" borderId="2" xfId="4" applyFont="1" applyFill="1" applyBorder="1" applyAlignment="1">
      <alignment horizontal="left"/>
    </xf>
    <xf numFmtId="189" fontId="23" fillId="0" borderId="0" xfId="4" applyNumberFormat="1" applyFont="1" applyBorder="1" applyAlignment="1">
      <alignment horizontal="right"/>
    </xf>
    <xf numFmtId="174" fontId="5" fillId="8" borderId="11" xfId="4" applyNumberFormat="1" applyFont="1" applyFill="1" applyBorder="1"/>
    <xf numFmtId="174" fontId="5" fillId="0" borderId="11" xfId="4" applyNumberFormat="1" applyFont="1" applyFill="1" applyBorder="1"/>
    <xf numFmtId="174" fontId="5" fillId="8" borderId="8" xfId="4" applyNumberFormat="1" applyFont="1" applyFill="1" applyBorder="1"/>
    <xf numFmtId="174" fontId="5" fillId="0" borderId="8" xfId="4" applyNumberFormat="1" applyFont="1" applyFill="1" applyBorder="1"/>
    <xf numFmtId="182" fontId="5" fillId="13" borderId="8" xfId="4" applyNumberFormat="1" applyFont="1" applyFill="1" applyBorder="1"/>
    <xf numFmtId="167" fontId="5" fillId="11" borderId="0" xfId="4" applyNumberFormat="1" applyFont="1" applyFill="1" applyBorder="1" applyAlignment="1"/>
    <xf numFmtId="167" fontId="5" fillId="11" borderId="1" xfId="4" applyNumberFormat="1" applyFont="1" applyFill="1" applyBorder="1" applyAlignment="1"/>
    <xf numFmtId="190" fontId="5" fillId="8" borderId="0" xfId="4" applyNumberFormat="1" applyFont="1" applyFill="1" applyBorder="1"/>
    <xf numFmtId="190" fontId="5" fillId="0" borderId="0" xfId="4" applyNumberFormat="1" applyFont="1" applyFill="1" applyBorder="1"/>
    <xf numFmtId="0" fontId="2" fillId="0" borderId="0" xfId="4" applyFont="1" applyFill="1" applyBorder="1"/>
    <xf numFmtId="191" fontId="5" fillId="8" borderId="0" xfId="4" applyNumberFormat="1" applyFont="1" applyFill="1" applyBorder="1"/>
    <xf numFmtId="191" fontId="5" fillId="0" borderId="0" xfId="4" applyNumberFormat="1" applyFont="1" applyFill="1" applyBorder="1"/>
    <xf numFmtId="167" fontId="4" fillId="8" borderId="0" xfId="4" applyNumberFormat="1" applyFont="1" applyFill="1" applyBorder="1"/>
    <xf numFmtId="0" fontId="25" fillId="0" borderId="0" xfId="4" applyFont="1" applyFill="1" applyBorder="1"/>
    <xf numFmtId="0" fontId="4" fillId="0" borderId="9" xfId="4" applyFont="1" applyFill="1" applyBorder="1"/>
    <xf numFmtId="177" fontId="4" fillId="0" borderId="0" xfId="4" applyNumberFormat="1" applyFont="1" applyFill="1" applyBorder="1" applyAlignment="1">
      <alignment horizontal="centerContinuous"/>
    </xf>
    <xf numFmtId="0" fontId="2" fillId="0" borderId="0" xfId="5" applyFont="1" applyBorder="1">
      <alignment vertical="top"/>
    </xf>
    <xf numFmtId="164" fontId="6" fillId="0" borderId="0" xfId="4" applyNumberFormat="1" applyFont="1" applyBorder="1" applyAlignment="1">
      <alignment horizontal="right"/>
    </xf>
    <xf numFmtId="192" fontId="4" fillId="8" borderId="22" xfId="4" applyNumberFormat="1" applyFont="1" applyFill="1" applyBorder="1"/>
    <xf numFmtId="169" fontId="4" fillId="8" borderId="22" xfId="7" applyNumberFormat="1" applyFont="1" applyFill="1" applyBorder="1"/>
    <xf numFmtId="170" fontId="4" fillId="5" borderId="0" xfId="8" applyFont="1" applyFill="1" applyBorder="1" applyProtection="1"/>
    <xf numFmtId="167" fontId="5" fillId="8" borderId="0" xfId="7" applyNumberFormat="1" applyFont="1" applyFill="1" applyBorder="1"/>
    <xf numFmtId="170" fontId="5" fillId="5" borderId="0" xfId="8" applyFont="1" applyFill="1" applyBorder="1" applyProtection="1"/>
    <xf numFmtId="167" fontId="17" fillId="2" borderId="2" xfId="4" applyNumberFormat="1" applyFont="1" applyFill="1" applyBorder="1"/>
    <xf numFmtId="170" fontId="5" fillId="5" borderId="2" xfId="8" quotePrefix="1" applyFont="1" applyFill="1" applyBorder="1" applyAlignment="1" applyProtection="1">
      <alignment horizontal="left" indent="1"/>
    </xf>
    <xf numFmtId="167" fontId="17" fillId="2" borderId="0" xfId="7" applyNumberFormat="1" applyFont="1" applyFill="1" applyBorder="1"/>
    <xf numFmtId="0" fontId="5" fillId="0" borderId="0" xfId="5" quotePrefix="1" applyFont="1" applyBorder="1">
      <alignment vertical="top"/>
    </xf>
    <xf numFmtId="167" fontId="4" fillId="8" borderId="25" xfId="9" applyNumberFormat="1" applyFont="1" applyFill="1" applyBorder="1" applyAlignment="1">
      <alignment horizontal="right"/>
    </xf>
    <xf numFmtId="0" fontId="4" fillId="0" borderId="0" xfId="7" applyFont="1" applyBorder="1" applyProtection="1"/>
    <xf numFmtId="10" fontId="27" fillId="2" borderId="0" xfId="4" applyNumberFormat="1" applyFont="1" applyFill="1" applyBorder="1" applyAlignment="1">
      <alignment horizontal="right"/>
    </xf>
    <xf numFmtId="0" fontId="5" fillId="9" borderId="0" xfId="5" applyFont="1" applyFill="1" applyBorder="1">
      <alignment vertical="top"/>
    </xf>
    <xf numFmtId="193" fontId="3" fillId="8" borderId="2" xfId="10" applyNumberFormat="1" applyFont="1" applyFill="1" applyBorder="1" applyAlignment="1">
      <alignment horizontal="right"/>
    </xf>
    <xf numFmtId="170" fontId="3" fillId="5" borderId="2" xfId="8" applyFont="1" applyFill="1" applyBorder="1" applyAlignment="1" applyProtection="1">
      <alignment horizontal="left"/>
    </xf>
    <xf numFmtId="0" fontId="4" fillId="0" borderId="1" xfId="5" applyFont="1" applyBorder="1">
      <alignment vertical="top"/>
    </xf>
    <xf numFmtId="167" fontId="17" fillId="2" borderId="0" xfId="4" applyNumberFormat="1" applyFont="1" applyFill="1" applyBorder="1"/>
    <xf numFmtId="164" fontId="27" fillId="2" borderId="0" xfId="6" applyNumberFormat="1" applyFont="1" applyFill="1" applyBorder="1" applyAlignment="1">
      <alignment horizontal="right" vertical="center"/>
    </xf>
    <xf numFmtId="194" fontId="3" fillId="8" borderId="0" xfId="10" applyNumberFormat="1" applyFont="1" applyFill="1" applyBorder="1" applyAlignment="1">
      <alignment horizontal="right"/>
    </xf>
    <xf numFmtId="170" fontId="3" fillId="5" borderId="0" xfId="8" applyFont="1" applyFill="1" applyBorder="1" applyAlignment="1" applyProtection="1">
      <alignment horizontal="left"/>
    </xf>
    <xf numFmtId="164" fontId="4" fillId="8" borderId="1" xfId="4" applyNumberFormat="1" applyFont="1" applyFill="1" applyBorder="1" applyAlignment="1">
      <alignment horizontal="right"/>
    </xf>
    <xf numFmtId="0" fontId="4" fillId="0" borderId="0" xfId="5" applyFont="1" applyBorder="1">
      <alignment vertical="top"/>
    </xf>
    <xf numFmtId="169" fontId="5" fillId="8" borderId="0" xfId="9" applyNumberFormat="1" applyFont="1" applyFill="1" applyBorder="1" applyAlignment="1">
      <alignment horizontal="right"/>
    </xf>
    <xf numFmtId="164" fontId="17" fillId="2" borderId="2" xfId="6" applyNumberFormat="1" applyFont="1" applyFill="1" applyBorder="1" applyAlignment="1">
      <alignment horizontal="right" vertical="center"/>
    </xf>
    <xf numFmtId="0" fontId="5" fillId="9" borderId="2" xfId="5" applyFont="1" applyFill="1" applyBorder="1">
      <alignment vertical="top"/>
    </xf>
    <xf numFmtId="169" fontId="5" fillId="9" borderId="0" xfId="7" applyNumberFormat="1" applyFont="1" applyFill="1" applyBorder="1"/>
    <xf numFmtId="0" fontId="5" fillId="0" borderId="0" xfId="7" applyFont="1" applyBorder="1"/>
    <xf numFmtId="164" fontId="17" fillId="2" borderId="0" xfId="6" applyNumberFormat="1" applyFont="1" applyFill="1" applyBorder="1" applyAlignment="1">
      <alignment horizontal="right" vertical="center"/>
    </xf>
    <xf numFmtId="195" fontId="3" fillId="8" borderId="0" xfId="10" applyNumberFormat="1" applyFont="1" applyFill="1" applyBorder="1" applyAlignment="1">
      <alignment horizontal="right"/>
    </xf>
    <xf numFmtId="164" fontId="4" fillId="8" borderId="0" xfId="10" applyNumberFormat="1" applyFont="1" applyFill="1" applyBorder="1" applyAlignment="1">
      <alignment horizontal="right" vertical="center"/>
    </xf>
    <xf numFmtId="171" fontId="35" fillId="2" borderId="0" xfId="9" applyNumberFormat="1" applyFont="1" applyFill="1" applyBorder="1" applyAlignment="1" applyProtection="1">
      <alignment horizontal="right"/>
      <protection locked="0"/>
    </xf>
    <xf numFmtId="169" fontId="5" fillId="9" borderId="22" xfId="4" applyNumberFormat="1" applyFont="1" applyFill="1" applyBorder="1"/>
    <xf numFmtId="169" fontId="5" fillId="8" borderId="0" xfId="4" applyNumberFormat="1" applyFont="1" applyFill="1" applyBorder="1"/>
    <xf numFmtId="2" fontId="27" fillId="2" borderId="2" xfId="6" applyNumberFormat="1" applyFont="1" applyFill="1" applyBorder="1" applyAlignment="1">
      <alignment horizontal="right" vertical="center"/>
    </xf>
    <xf numFmtId="169" fontId="5" fillId="8" borderId="0" xfId="7" applyNumberFormat="1" applyFont="1" applyFill="1" applyBorder="1"/>
    <xf numFmtId="0" fontId="5" fillId="0" borderId="0" xfId="7" applyFont="1" applyFill="1" applyBorder="1" applyProtection="1"/>
    <xf numFmtId="164" fontId="5" fillId="8" borderId="0" xfId="4" applyNumberFormat="1" applyFont="1" applyFill="1" applyBorder="1" applyAlignment="1">
      <alignment horizontal="right"/>
    </xf>
    <xf numFmtId="10" fontId="27" fillId="2" borderId="0" xfId="6" applyNumberFormat="1" applyFont="1" applyFill="1" applyBorder="1" applyAlignment="1">
      <alignment horizontal="right" vertical="center"/>
    </xf>
    <xf numFmtId="0" fontId="2" fillId="0" borderId="0" xfId="5" applyFont="1" applyFill="1" applyBorder="1">
      <alignment vertical="top"/>
    </xf>
    <xf numFmtId="0" fontId="31" fillId="0" borderId="0" xfId="4" applyFont="1" applyFill="1" applyBorder="1"/>
    <xf numFmtId="0" fontId="39" fillId="2" borderId="29" xfId="0" applyFont="1" applyFill="1" applyBorder="1" applyAlignment="1">
      <alignment vertical="top" wrapText="1"/>
    </xf>
    <xf numFmtId="0" fontId="42" fillId="0" borderId="0" xfId="0" applyFont="1" applyFill="1" applyBorder="1" applyAlignment="1">
      <alignment horizontal="left" vertical="center" wrapText="1"/>
    </xf>
    <xf numFmtId="0" fontId="34" fillId="0" borderId="0" xfId="0" applyFont="1" applyFill="1"/>
    <xf numFmtId="0" fontId="39" fillId="0" borderId="0" xfId="0" applyFont="1" applyFill="1" applyBorder="1" applyAlignment="1">
      <alignment vertical="top" wrapText="1"/>
    </xf>
    <xf numFmtId="0" fontId="39" fillId="0" borderId="0" xfId="0" applyFont="1" applyFill="1" applyBorder="1" applyAlignment="1">
      <alignment horizontal="center" vertical="top" wrapText="1"/>
    </xf>
    <xf numFmtId="0" fontId="23" fillId="0" borderId="0" xfId="4" applyFont="1" applyFill="1" applyBorder="1"/>
    <xf numFmtId="0" fontId="23" fillId="7" borderId="0" xfId="4" applyFont="1" applyFill="1" applyBorder="1"/>
    <xf numFmtId="0" fontId="23" fillId="0" borderId="1" xfId="4" applyFont="1" applyBorder="1"/>
    <xf numFmtId="9" fontId="5" fillId="0" borderId="0" xfId="3" applyFont="1" applyFill="1" applyBorder="1" applyAlignment="1"/>
    <xf numFmtId="168" fontId="5" fillId="0" borderId="0" xfId="1" applyNumberFormat="1" applyFont="1" applyFill="1" applyBorder="1" applyAlignment="1"/>
    <xf numFmtId="167" fontId="4" fillId="8" borderId="1" xfId="4" applyNumberFormat="1" applyFont="1" applyFill="1" applyBorder="1"/>
    <xf numFmtId="0" fontId="4" fillId="0" borderId="0" xfId="4" applyFont="1" applyFill="1" applyBorder="1" applyAlignment="1">
      <alignment horizontal="left" indent="1"/>
    </xf>
    <xf numFmtId="1" fontId="17" fillId="0" borderId="8" xfId="4" applyNumberFormat="1" applyFont="1" applyBorder="1"/>
    <xf numFmtId="1" fontId="17" fillId="0" borderId="11" xfId="4" applyNumberFormat="1" applyFont="1" applyBorder="1"/>
    <xf numFmtId="167" fontId="17" fillId="2" borderId="2" xfId="4" applyNumberFormat="1" applyFont="1" applyFill="1" applyBorder="1" applyAlignment="1"/>
    <xf numFmtId="167" fontId="5" fillId="0" borderId="0" xfId="14" applyNumberFormat="1" applyFont="1" applyFill="1" applyBorder="1" applyAlignment="1">
      <alignment horizontal="right"/>
    </xf>
    <xf numFmtId="167" fontId="17" fillId="0" borderId="0" xfId="11" applyNumberFormat="1" applyFont="1" applyFill="1"/>
    <xf numFmtId="0" fontId="28" fillId="0" borderId="0" xfId="4" applyFont="1"/>
    <xf numFmtId="167" fontId="17" fillId="0" borderId="0" xfId="4" applyNumberFormat="1" applyFont="1" applyAlignment="1">
      <alignment horizontal="right"/>
    </xf>
    <xf numFmtId="0" fontId="17" fillId="2" borderId="0" xfId="4" applyFont="1" applyFill="1" applyBorder="1"/>
    <xf numFmtId="0" fontId="45" fillId="2" borderId="0" xfId="4" applyFont="1" applyFill="1"/>
    <xf numFmtId="172" fontId="4" fillId="0" borderId="1" xfId="11" applyNumberFormat="1" applyFont="1" applyFill="1" applyBorder="1"/>
    <xf numFmtId="172" fontId="5" fillId="0" borderId="1" xfId="11" applyNumberFormat="1" applyFont="1" applyFill="1" applyBorder="1"/>
    <xf numFmtId="169" fontId="5" fillId="0" borderId="1" xfId="4" applyNumberFormat="1" applyFont="1" applyFill="1" applyBorder="1"/>
    <xf numFmtId="0" fontId="46" fillId="0" borderId="0" xfId="4" applyFont="1" applyBorder="1"/>
    <xf numFmtId="0" fontId="39" fillId="2" borderId="0" xfId="0" applyFont="1" applyFill="1" applyBorder="1" applyAlignment="1">
      <alignment vertical="top" wrapText="1"/>
    </xf>
    <xf numFmtId="196" fontId="39" fillId="8" borderId="27" xfId="0" applyNumberFormat="1" applyFont="1" applyFill="1" applyBorder="1" applyAlignment="1">
      <alignment horizontal="center" vertical="center" wrapText="1"/>
    </xf>
    <xf numFmtId="198" fontId="5" fillId="9" borderId="0" xfId="4" applyNumberFormat="1" applyFont="1" applyFill="1" applyBorder="1"/>
    <xf numFmtId="0" fontId="23" fillId="9" borderId="0" xfId="4" applyFont="1" applyFill="1" applyBorder="1"/>
    <xf numFmtId="0" fontId="5" fillId="9" borderId="18" xfId="4" applyFont="1" applyFill="1" applyBorder="1"/>
    <xf numFmtId="167" fontId="5" fillId="9" borderId="0" xfId="4" applyNumberFormat="1" applyFont="1" applyFill="1"/>
    <xf numFmtId="0" fontId="4" fillId="9" borderId="0" xfId="4" applyFont="1" applyFill="1"/>
    <xf numFmtId="167" fontId="5" fillId="9" borderId="1" xfId="4" applyNumberFormat="1" applyFont="1" applyFill="1" applyBorder="1"/>
    <xf numFmtId="0" fontId="38" fillId="0" borderId="0" xfId="4" applyFont="1" applyFill="1" applyBorder="1"/>
    <xf numFmtId="0" fontId="22" fillId="0" borderId="0" xfId="4" applyFont="1" applyFill="1" applyBorder="1"/>
    <xf numFmtId="199" fontId="4" fillId="0" borderId="9" xfId="4" applyNumberFormat="1" applyFont="1" applyFill="1" applyBorder="1" applyAlignment="1"/>
    <xf numFmtId="177" fontId="4" fillId="0" borderId="18" xfId="4" applyNumberFormat="1" applyFont="1" applyBorder="1" applyAlignment="1">
      <alignment horizontal="centerContinuous"/>
    </xf>
    <xf numFmtId="0" fontId="9" fillId="14" borderId="0" xfId="4" applyFont="1" applyFill="1" applyBorder="1" applyAlignment="1">
      <alignment horizontal="right"/>
    </xf>
    <xf numFmtId="0" fontId="30" fillId="14" borderId="0" xfId="4" applyFont="1" applyFill="1" applyBorder="1" applyAlignment="1"/>
    <xf numFmtId="0" fontId="47" fillId="9" borderId="0" xfId="4" applyFont="1" applyFill="1"/>
    <xf numFmtId="0" fontId="48" fillId="9" borderId="0" xfId="4" applyFont="1" applyFill="1" applyBorder="1"/>
    <xf numFmtId="0" fontId="4" fillId="2" borderId="4" xfId="4" applyFont="1" applyFill="1" applyBorder="1"/>
    <xf numFmtId="167" fontId="4" fillId="0" borderId="1" xfId="4" applyNumberFormat="1" applyFont="1" applyFill="1" applyBorder="1"/>
    <xf numFmtId="0" fontId="4" fillId="9" borderId="1" xfId="4" applyFont="1" applyFill="1" applyBorder="1"/>
    <xf numFmtId="0" fontId="0" fillId="0" borderId="0" xfId="0" applyFill="1"/>
    <xf numFmtId="10" fontId="4" fillId="0" borderId="0" xfId="4" applyNumberFormat="1" applyFont="1" applyFill="1" applyBorder="1" applyAlignment="1">
      <alignment horizontal="left"/>
    </xf>
    <xf numFmtId="0" fontId="4" fillId="0" borderId="0" xfId="4" applyFont="1" applyFill="1" applyBorder="1" applyAlignment="1">
      <alignment horizontal="right"/>
    </xf>
    <xf numFmtId="4" fontId="4" fillId="0" borderId="0" xfId="4" applyNumberFormat="1" applyFont="1" applyFill="1" applyBorder="1"/>
    <xf numFmtId="201" fontId="5" fillId="0" borderId="0" xfId="4" applyNumberFormat="1" applyFont="1" applyFill="1" applyBorder="1"/>
    <xf numFmtId="200" fontId="5" fillId="0" borderId="0" xfId="4" applyNumberFormat="1" applyFont="1" applyFill="1" applyBorder="1" applyAlignment="1">
      <alignment horizontal="right"/>
    </xf>
    <xf numFmtId="200" fontId="5" fillId="0" borderId="0" xfId="4" applyNumberFormat="1" applyFont="1" applyFill="1" applyBorder="1"/>
    <xf numFmtId="0" fontId="3" fillId="0" borderId="0" xfId="4" applyFont="1" applyFill="1" applyBorder="1"/>
    <xf numFmtId="9" fontId="5" fillId="0" borderId="0" xfId="4" applyNumberFormat="1" applyFont="1" applyFill="1" applyBorder="1"/>
    <xf numFmtId="9" fontId="5" fillId="9" borderId="0" xfId="4" applyNumberFormat="1" applyFont="1" applyFill="1" applyBorder="1"/>
    <xf numFmtId="0" fontId="3" fillId="9" borderId="0" xfId="4" applyFont="1" applyFill="1"/>
    <xf numFmtId="164" fontId="5" fillId="9" borderId="0" xfId="4" applyNumberFormat="1" applyFont="1" applyFill="1" applyBorder="1"/>
    <xf numFmtId="0" fontId="5" fillId="9" borderId="11" xfId="4" applyFont="1" applyFill="1" applyBorder="1"/>
    <xf numFmtId="0" fontId="17" fillId="0" borderId="0" xfId="4" applyNumberFormat="1" applyFont="1" applyFill="1" applyBorder="1" applyAlignment="1"/>
    <xf numFmtId="0" fontId="17" fillId="0" borderId="0" xfId="4" applyFont="1" applyFill="1" applyBorder="1"/>
    <xf numFmtId="0" fontId="9" fillId="0" borderId="0" xfId="4" applyFont="1" applyFill="1" applyBorder="1" applyAlignment="1">
      <alignment horizontal="right"/>
    </xf>
    <xf numFmtId="0" fontId="2" fillId="9" borderId="0" xfId="4" applyFill="1"/>
    <xf numFmtId="0" fontId="2" fillId="9" borderId="0" xfId="4" applyFill="1" applyBorder="1"/>
    <xf numFmtId="0" fontId="2" fillId="7" borderId="18" xfId="4" applyFont="1" applyFill="1" applyBorder="1"/>
    <xf numFmtId="0" fontId="21" fillId="7" borderId="18" xfId="4" applyFont="1" applyFill="1" applyBorder="1"/>
    <xf numFmtId="180" fontId="4" fillId="0" borderId="4" xfId="4" applyNumberFormat="1" applyFont="1" applyFill="1" applyBorder="1" applyAlignment="1">
      <alignment horizontal="right"/>
    </xf>
    <xf numFmtId="0" fontId="4" fillId="0" borderId="4" xfId="4" applyFont="1" applyFill="1" applyBorder="1"/>
    <xf numFmtId="165" fontId="5" fillId="0" borderId="0" xfId="4" applyNumberFormat="1" applyFont="1" applyFill="1" applyBorder="1"/>
    <xf numFmtId="0" fontId="35" fillId="0" borderId="0" xfId="4" applyFont="1" applyFill="1" applyBorder="1"/>
    <xf numFmtId="0" fontId="4" fillId="0" borderId="9" xfId="4" applyFont="1" applyFill="1" applyBorder="1" applyAlignment="1">
      <alignment horizontal="right"/>
    </xf>
    <xf numFmtId="0" fontId="4" fillId="0" borderId="9" xfId="4" applyFont="1" applyFill="1" applyBorder="1" applyAlignment="1"/>
    <xf numFmtId="10" fontId="35" fillId="0" borderId="0" xfId="4" applyNumberFormat="1" applyFont="1" applyFill="1" applyBorder="1"/>
    <xf numFmtId="0" fontId="2" fillId="0" borderId="0" xfId="4" applyFill="1" applyBorder="1"/>
    <xf numFmtId="6" fontId="4" fillId="0" borderId="0" xfId="4" applyNumberFormat="1" applyFont="1" applyFill="1" applyBorder="1"/>
    <xf numFmtId="8" fontId="5" fillId="9" borderId="0" xfId="4" applyNumberFormat="1" applyFont="1" applyFill="1" applyBorder="1"/>
    <xf numFmtId="164" fontId="5" fillId="0" borderId="0" xfId="4" applyNumberFormat="1" applyFont="1" applyFill="1" applyBorder="1"/>
    <xf numFmtId="0" fontId="3" fillId="9" borderId="0" xfId="4" applyFont="1" applyFill="1" applyBorder="1"/>
    <xf numFmtId="167" fontId="5" fillId="0" borderId="0" xfId="4" applyNumberFormat="1" applyFont="1" applyFill="1" applyBorder="1" applyAlignment="1">
      <alignment horizontal="right"/>
    </xf>
    <xf numFmtId="0" fontId="17" fillId="0" borderId="0" xfId="4" applyFont="1" applyFill="1" applyBorder="1" applyAlignment="1">
      <alignment horizontal="right"/>
    </xf>
    <xf numFmtId="0" fontId="35" fillId="0" borderId="0" xfId="4" applyFont="1" applyFill="1" applyBorder="1" applyAlignment="1">
      <alignment horizontal="right"/>
    </xf>
    <xf numFmtId="9" fontId="4" fillId="0" borderId="1" xfId="4" applyNumberFormat="1" applyFont="1" applyFill="1" applyBorder="1"/>
    <xf numFmtId="202" fontId="5" fillId="9" borderId="0" xfId="4" applyNumberFormat="1" applyFont="1" applyFill="1" applyBorder="1"/>
    <xf numFmtId="9" fontId="4" fillId="0" borderId="0" xfId="4" applyNumberFormat="1" applyFont="1" applyFill="1" applyBorder="1"/>
    <xf numFmtId="9" fontId="4" fillId="0" borderId="8" xfId="4" applyNumberFormat="1" applyFont="1" applyFill="1" applyBorder="1"/>
    <xf numFmtId="167" fontId="4" fillId="0" borderId="8" xfId="4" applyNumberFormat="1" applyFont="1" applyFill="1" applyBorder="1"/>
    <xf numFmtId="0" fontId="5" fillId="0" borderId="8" xfId="4" applyFont="1" applyFill="1" applyBorder="1"/>
    <xf numFmtId="0" fontId="4" fillId="0" borderId="8" xfId="4" applyFont="1" applyFill="1" applyBorder="1"/>
    <xf numFmtId="202" fontId="4" fillId="9" borderId="0" xfId="4" applyNumberFormat="1" applyFont="1" applyFill="1" applyBorder="1"/>
    <xf numFmtId="202" fontId="4" fillId="9" borderId="8" xfId="4" applyNumberFormat="1" applyFont="1" applyFill="1" applyBorder="1"/>
    <xf numFmtId="167" fontId="4" fillId="9" borderId="8" xfId="4" applyNumberFormat="1" applyFont="1" applyFill="1" applyBorder="1"/>
    <xf numFmtId="0" fontId="4" fillId="9" borderId="8" xfId="4" applyFont="1" applyFill="1" applyBorder="1"/>
    <xf numFmtId="0" fontId="37" fillId="9" borderId="0" xfId="4" applyFont="1" applyFill="1" applyBorder="1"/>
    <xf numFmtId="167" fontId="32" fillId="0" borderId="0" xfId="4" applyNumberFormat="1" applyFont="1" applyFill="1" applyBorder="1"/>
    <xf numFmtId="0" fontId="32" fillId="0" borderId="0" xfId="4" applyFont="1" applyFill="1" applyBorder="1"/>
    <xf numFmtId="9" fontId="5" fillId="0" borderId="8" xfId="4" applyNumberFormat="1" applyFont="1" applyFill="1" applyBorder="1"/>
    <xf numFmtId="167" fontId="32" fillId="0" borderId="8" xfId="4" applyNumberFormat="1" applyFont="1" applyFill="1" applyBorder="1"/>
    <xf numFmtId="10" fontId="3" fillId="9" borderId="0" xfId="4" applyNumberFormat="1" applyFont="1" applyFill="1" applyBorder="1"/>
    <xf numFmtId="167" fontId="5" fillId="0" borderId="8" xfId="4" applyNumberFormat="1" applyFont="1" applyFill="1" applyBorder="1"/>
    <xf numFmtId="171" fontId="5" fillId="0" borderId="8" xfId="4" applyNumberFormat="1" applyFont="1" applyFill="1" applyBorder="1"/>
    <xf numFmtId="171" fontId="5" fillId="0" borderId="0" xfId="4" applyNumberFormat="1" applyFont="1" applyFill="1" applyBorder="1"/>
    <xf numFmtId="203" fontId="50" fillId="9" borderId="0" xfId="4" applyNumberFormat="1" applyFont="1" applyFill="1" applyBorder="1"/>
    <xf numFmtId="0" fontId="32" fillId="9" borderId="0" xfId="4" applyFont="1" applyFill="1" applyBorder="1"/>
    <xf numFmtId="6" fontId="5" fillId="9" borderId="0" xfId="4" applyNumberFormat="1" applyFont="1" applyFill="1" applyBorder="1"/>
    <xf numFmtId="0" fontId="9" fillId="0" borderId="0" xfId="4" applyFont="1" applyFill="1" applyBorder="1" applyAlignment="1"/>
    <xf numFmtId="180" fontId="4" fillId="2" borderId="4" xfId="4" applyNumberFormat="1" applyFont="1" applyFill="1" applyBorder="1" applyAlignment="1">
      <alignment horizontal="right"/>
    </xf>
    <xf numFmtId="171" fontId="5" fillId="0" borderId="0" xfId="4" applyNumberFormat="1" applyFont="1" applyFill="1" applyBorder="1" applyAlignment="1">
      <alignment horizontal="right"/>
    </xf>
    <xf numFmtId="204" fontId="5" fillId="0" borderId="0" xfId="4" applyNumberFormat="1" applyFont="1" applyFill="1" applyBorder="1" applyAlignment="1">
      <alignment horizontal="right"/>
    </xf>
    <xf numFmtId="171" fontId="5" fillId="9" borderId="0" xfId="4" applyNumberFormat="1" applyFont="1" applyFill="1" applyBorder="1" applyAlignment="1">
      <alignment horizontal="right"/>
    </xf>
    <xf numFmtId="0" fontId="5" fillId="9" borderId="0" xfId="4" applyNumberFormat="1" applyFont="1" applyFill="1" applyBorder="1" applyAlignment="1">
      <alignment horizontal="right"/>
    </xf>
    <xf numFmtId="203" fontId="50" fillId="0" borderId="0" xfId="4" applyNumberFormat="1" applyFont="1" applyFill="1" applyBorder="1"/>
    <xf numFmtId="0" fontId="35" fillId="0" borderId="22" xfId="4" applyFont="1" applyFill="1" applyBorder="1" applyAlignment="1">
      <alignment horizontal="center"/>
    </xf>
    <xf numFmtId="0" fontId="35" fillId="0" borderId="3" xfId="4" applyFont="1" applyFill="1" applyBorder="1" applyAlignment="1">
      <alignment horizontal="center"/>
    </xf>
    <xf numFmtId="0" fontId="4" fillId="9" borderId="0" xfId="4" applyFont="1" applyFill="1" applyBorder="1" applyAlignment="1">
      <alignment horizontal="center"/>
    </xf>
    <xf numFmtId="0" fontId="30" fillId="0" borderId="0" xfId="4" applyFont="1" applyFill="1" applyBorder="1" applyAlignment="1"/>
    <xf numFmtId="0" fontId="2" fillId="9" borderId="0" xfId="4" applyFill="1" applyAlignment="1">
      <alignment horizontal="left"/>
    </xf>
    <xf numFmtId="182" fontId="2" fillId="9" borderId="0" xfId="4" applyNumberFormat="1" applyFill="1" applyBorder="1"/>
    <xf numFmtId="0" fontId="5" fillId="9" borderId="4" xfId="4" applyFont="1" applyFill="1" applyBorder="1" applyAlignment="1">
      <alignment horizontal="center"/>
    </xf>
    <xf numFmtId="0" fontId="5" fillId="9" borderId="4" xfId="4" applyFont="1" applyFill="1" applyBorder="1" applyAlignment="1">
      <alignment horizontal="left"/>
    </xf>
    <xf numFmtId="0" fontId="5" fillId="9" borderId="4" xfId="4" applyFont="1" applyFill="1" applyBorder="1"/>
    <xf numFmtId="0" fontId="5" fillId="9" borderId="0" xfId="4" applyFont="1" applyFill="1" applyAlignment="1">
      <alignment horizontal="left"/>
    </xf>
    <xf numFmtId="182" fontId="4" fillId="9" borderId="4" xfId="4" applyNumberFormat="1" applyFont="1" applyFill="1" applyBorder="1"/>
    <xf numFmtId="0" fontId="4" fillId="9" borderId="4" xfId="4" applyFont="1" applyFill="1" applyBorder="1"/>
    <xf numFmtId="0" fontId="4" fillId="9" borderId="4" xfId="4" applyFont="1" applyFill="1" applyBorder="1" applyAlignment="1">
      <alignment horizontal="left"/>
    </xf>
    <xf numFmtId="205" fontId="3" fillId="9" borderId="0" xfId="4" applyNumberFormat="1" applyFont="1" applyFill="1" applyBorder="1" applyAlignment="1">
      <alignment horizontal="left"/>
    </xf>
    <xf numFmtId="205" fontId="3" fillId="9" borderId="0" xfId="4" applyNumberFormat="1" applyFont="1" applyFill="1" applyAlignment="1">
      <alignment horizontal="left"/>
    </xf>
    <xf numFmtId="199" fontId="4" fillId="0" borderId="9" xfId="4" applyNumberFormat="1" applyFont="1" applyFill="1" applyBorder="1" applyAlignment="1">
      <alignment horizontal="left"/>
    </xf>
    <xf numFmtId="10" fontId="5" fillId="9" borderId="0" xfId="4" applyNumberFormat="1" applyFont="1" applyFill="1" applyBorder="1"/>
    <xf numFmtId="182" fontId="3" fillId="9" borderId="0" xfId="4" applyNumberFormat="1" applyFont="1" applyFill="1" applyAlignment="1">
      <alignment horizontal="center"/>
    </xf>
    <xf numFmtId="182" fontId="3" fillId="9" borderId="0" xfId="4" applyNumberFormat="1" applyFont="1" applyFill="1" applyBorder="1"/>
    <xf numFmtId="0" fontId="3" fillId="9" borderId="0" xfId="4" applyFont="1" applyFill="1" applyAlignment="1">
      <alignment horizontal="left"/>
    </xf>
    <xf numFmtId="0" fontId="25" fillId="9" borderId="0" xfId="4" applyFont="1" applyFill="1"/>
    <xf numFmtId="182" fontId="4" fillId="9" borderId="0" xfId="4" applyNumberFormat="1" applyFont="1" applyFill="1"/>
    <xf numFmtId="205" fontId="14" fillId="9" borderId="4" xfId="4" applyNumberFormat="1" applyFont="1" applyFill="1" applyBorder="1" applyAlignment="1">
      <alignment horizontal="left"/>
    </xf>
    <xf numFmtId="205" fontId="3" fillId="9" borderId="1" xfId="4" applyNumberFormat="1" applyFont="1" applyFill="1" applyBorder="1" applyAlignment="1">
      <alignment horizontal="left"/>
    </xf>
    <xf numFmtId="182" fontId="5" fillId="9" borderId="18" xfId="4" applyNumberFormat="1" applyFont="1" applyFill="1" applyBorder="1"/>
    <xf numFmtId="203" fontId="3" fillId="9" borderId="18" xfId="4" applyNumberFormat="1" applyFont="1" applyFill="1" applyBorder="1" applyAlignment="1">
      <alignment horizontal="left"/>
    </xf>
    <xf numFmtId="182" fontId="5" fillId="0" borderId="4" xfId="4" applyNumberFormat="1" applyFont="1" applyFill="1" applyBorder="1"/>
    <xf numFmtId="0" fontId="5" fillId="0" borderId="4" xfId="4" applyNumberFormat="1" applyFont="1" applyFill="1" applyBorder="1" applyAlignment="1"/>
    <xf numFmtId="0" fontId="5" fillId="0" borderId="4" xfId="4" applyNumberFormat="1" applyFont="1" applyFill="1" applyBorder="1" applyAlignment="1">
      <alignment horizontal="left"/>
    </xf>
    <xf numFmtId="0" fontId="5" fillId="0" borderId="18" xfId="4" applyNumberFormat="1" applyFont="1" applyFill="1" applyBorder="1" applyAlignment="1"/>
    <xf numFmtId="0" fontId="5" fillId="0" borderId="18" xfId="4" applyNumberFormat="1" applyFont="1" applyFill="1" applyBorder="1" applyAlignment="1">
      <alignment horizontal="left"/>
    </xf>
    <xf numFmtId="182" fontId="5" fillId="0" borderId="18" xfId="4" applyNumberFormat="1" applyFont="1" applyFill="1" applyBorder="1"/>
    <xf numFmtId="0" fontId="4" fillId="9" borderId="18" xfId="4" applyFont="1" applyFill="1" applyBorder="1"/>
    <xf numFmtId="0" fontId="5" fillId="0" borderId="18" xfId="4" applyFont="1" applyFill="1" applyBorder="1" applyAlignment="1">
      <alignment horizontal="left"/>
    </xf>
    <xf numFmtId="182" fontId="3" fillId="0" borderId="0" xfId="4" applyNumberFormat="1" applyFont="1" applyFill="1"/>
    <xf numFmtId="0" fontId="20" fillId="0" borderId="0" xfId="4" applyFont="1" applyBorder="1" applyAlignment="1">
      <alignment horizontal="left"/>
    </xf>
    <xf numFmtId="0" fontId="5" fillId="9" borderId="25" xfId="4" applyFont="1" applyFill="1" applyBorder="1" applyAlignment="1">
      <alignment horizontal="center"/>
    </xf>
    <xf numFmtId="0" fontId="5" fillId="9" borderId="30" xfId="4" applyFont="1" applyFill="1" applyBorder="1" applyAlignment="1">
      <alignment horizontal="center"/>
    </xf>
    <xf numFmtId="0" fontId="5" fillId="9" borderId="31" xfId="4" applyFont="1" applyFill="1" applyBorder="1"/>
    <xf numFmtId="0" fontId="4" fillId="9" borderId="31" xfId="4" applyFont="1" applyFill="1" applyBorder="1"/>
    <xf numFmtId="0" fontId="4" fillId="9" borderId="31" xfId="4" applyFont="1" applyFill="1" applyBorder="1" applyAlignment="1">
      <alignment horizontal="center"/>
    </xf>
    <xf numFmtId="0" fontId="4" fillId="9" borderId="31" xfId="4" applyFont="1" applyFill="1" applyBorder="1" applyAlignment="1">
      <alignment horizontal="left"/>
    </xf>
    <xf numFmtId="0" fontId="5" fillId="0" borderId="22" xfId="4" applyNumberFormat="1" applyFont="1" applyFill="1" applyBorder="1" applyAlignment="1">
      <alignment horizontal="center"/>
    </xf>
    <xf numFmtId="0" fontId="5" fillId="9" borderId="18" xfId="4" applyFont="1" applyFill="1" applyBorder="1" applyAlignment="1">
      <alignment horizontal="left"/>
    </xf>
    <xf numFmtId="0" fontId="5" fillId="9" borderId="0" xfId="4" applyFont="1" applyFill="1" applyBorder="1" applyAlignment="1">
      <alignment horizontal="center"/>
    </xf>
    <xf numFmtId="0" fontId="5" fillId="0" borderId="0" xfId="4" applyNumberFormat="1" applyFont="1" applyFill="1" applyBorder="1" applyAlignment="1">
      <alignment horizontal="center"/>
    </xf>
    <xf numFmtId="182" fontId="4" fillId="0" borderId="32" xfId="4" applyNumberFormat="1" applyFont="1" applyFill="1" applyBorder="1" applyAlignment="1">
      <alignment horizontal="center"/>
    </xf>
    <xf numFmtId="199" fontId="4" fillId="0" borderId="0" xfId="4" applyNumberFormat="1" applyFont="1" applyFill="1" applyBorder="1" applyAlignment="1"/>
    <xf numFmtId="0" fontId="33" fillId="9" borderId="0" xfId="4" applyFont="1" applyFill="1" applyAlignment="1">
      <alignment horizontal="center"/>
    </xf>
    <xf numFmtId="182" fontId="33" fillId="9" borderId="0" xfId="4" applyNumberFormat="1" applyFont="1" applyFill="1" applyBorder="1"/>
    <xf numFmtId="0" fontId="33" fillId="9" borderId="0" xfId="4" applyFont="1" applyFill="1"/>
    <xf numFmtId="182" fontId="5" fillId="2" borderId="1" xfId="4" applyNumberFormat="1" applyFont="1" applyFill="1" applyBorder="1"/>
    <xf numFmtId="10" fontId="4" fillId="2" borderId="0" xfId="4" applyNumberFormat="1" applyFont="1" applyFill="1" applyBorder="1"/>
    <xf numFmtId="0" fontId="5" fillId="2" borderId="1" xfId="4" applyFont="1" applyFill="1" applyBorder="1"/>
    <xf numFmtId="0" fontId="5" fillId="2" borderId="0" xfId="4" applyFont="1" applyFill="1" applyAlignment="1">
      <alignment horizontal="left"/>
    </xf>
    <xf numFmtId="182" fontId="35" fillId="9" borderId="0" xfId="4" applyNumberFormat="1" applyFont="1" applyFill="1" applyBorder="1"/>
    <xf numFmtId="206" fontId="5" fillId="9" borderId="0" xfId="4" applyNumberFormat="1" applyFont="1" applyFill="1" applyBorder="1"/>
    <xf numFmtId="0" fontId="5" fillId="9" borderId="22" xfId="4" applyNumberFormat="1" applyFont="1" applyFill="1" applyBorder="1" applyAlignment="1">
      <alignment horizontal="center"/>
    </xf>
    <xf numFmtId="0" fontId="3" fillId="9" borderId="0" xfId="4" applyFont="1" applyFill="1" applyAlignment="1">
      <alignment horizontal="center"/>
    </xf>
    <xf numFmtId="0" fontId="4" fillId="9" borderId="0" xfId="4" applyFont="1" applyFill="1" applyBorder="1" applyAlignment="1">
      <alignment horizontal="left"/>
    </xf>
    <xf numFmtId="0" fontId="32" fillId="9" borderId="0" xfId="4" applyFont="1" applyFill="1"/>
    <xf numFmtId="0" fontId="4" fillId="9" borderId="1" xfId="4" applyFont="1" applyFill="1" applyBorder="1" applyAlignment="1">
      <alignment horizontal="left"/>
    </xf>
    <xf numFmtId="0" fontId="37" fillId="9" borderId="0" xfId="4" applyFont="1" applyFill="1"/>
    <xf numFmtId="182" fontId="35" fillId="9" borderId="0" xfId="4" applyNumberFormat="1" applyFont="1" applyFill="1"/>
    <xf numFmtId="0" fontId="37" fillId="9" borderId="0" xfId="4" applyFont="1" applyFill="1" applyAlignment="1">
      <alignment horizontal="left"/>
    </xf>
    <xf numFmtId="182" fontId="5" fillId="9" borderId="11" xfId="4" applyNumberFormat="1" applyFont="1" applyFill="1" applyBorder="1"/>
    <xf numFmtId="0" fontId="5" fillId="9" borderId="11" xfId="4" applyFont="1" applyFill="1" applyBorder="1" applyAlignment="1">
      <alignment horizontal="left"/>
    </xf>
    <xf numFmtId="1" fontId="5" fillId="0" borderId="0" xfId="4" applyNumberFormat="1" applyFont="1" applyFill="1" applyBorder="1" applyAlignment="1">
      <alignment horizontal="center"/>
    </xf>
    <xf numFmtId="164" fontId="35" fillId="0" borderId="0" xfId="4" applyNumberFormat="1" applyFont="1" applyFill="1" applyBorder="1"/>
    <xf numFmtId="199" fontId="4" fillId="0" borderId="0" xfId="4" applyNumberFormat="1" applyFont="1" applyFill="1" applyBorder="1" applyAlignment="1">
      <alignment horizontal="center"/>
    </xf>
    <xf numFmtId="9" fontId="3" fillId="9" borderId="0" xfId="3" applyFont="1" applyFill="1"/>
    <xf numFmtId="182" fontId="3" fillId="9" borderId="0" xfId="4" applyNumberFormat="1" applyFont="1" applyFill="1"/>
    <xf numFmtId="0" fontId="3" fillId="0" borderId="0" xfId="4" applyFont="1" applyAlignment="1">
      <alignment horizontal="left" indent="1"/>
    </xf>
    <xf numFmtId="0" fontId="5" fillId="7" borderId="0" xfId="4" applyFont="1" applyFill="1" applyBorder="1" applyAlignment="1">
      <alignment horizontal="left"/>
    </xf>
    <xf numFmtId="0" fontId="2" fillId="7" borderId="18" xfId="4" applyFont="1" applyFill="1" applyBorder="1" applyAlignment="1">
      <alignment horizontal="left"/>
    </xf>
    <xf numFmtId="9" fontId="4" fillId="0" borderId="0" xfId="4" applyNumberFormat="1" applyFont="1" applyFill="1" applyBorder="1" applyAlignment="1">
      <alignment horizontal="center"/>
    </xf>
    <xf numFmtId="200" fontId="4" fillId="0" borderId="0" xfId="4" applyNumberFormat="1" applyFont="1" applyFill="1" applyBorder="1" applyAlignment="1">
      <alignment horizontal="center"/>
    </xf>
    <xf numFmtId="10" fontId="4" fillId="0" borderId="0" xfId="4" applyNumberFormat="1" applyFont="1" applyFill="1" applyBorder="1" applyAlignment="1">
      <alignment horizontal="center"/>
    </xf>
    <xf numFmtId="201" fontId="4" fillId="0" borderId="0" xfId="4" applyNumberFormat="1" applyFont="1" applyFill="1" applyBorder="1" applyAlignment="1">
      <alignment horizontal="center"/>
    </xf>
    <xf numFmtId="167" fontId="4" fillId="0" borderId="0" xfId="4" applyNumberFormat="1" applyFont="1" applyFill="1" applyBorder="1" applyAlignment="1">
      <alignment horizontal="center"/>
    </xf>
    <xf numFmtId="9" fontId="4" fillId="0" borderId="0" xfId="4" applyNumberFormat="1" applyFont="1" applyFill="1" applyBorder="1" applyAlignment="1">
      <alignment horizontal="left"/>
    </xf>
    <xf numFmtId="9" fontId="4" fillId="0" borderId="0" xfId="10" applyFont="1" applyFill="1" applyBorder="1" applyAlignment="1">
      <alignment horizontal="center"/>
    </xf>
    <xf numFmtId="200" fontId="14" fillId="0" borderId="0" xfId="4" applyNumberFormat="1" applyFont="1" applyFill="1" applyBorder="1" applyAlignment="1">
      <alignment horizontal="center"/>
    </xf>
    <xf numFmtId="15" fontId="4" fillId="0" borderId="0" xfId="4" applyNumberFormat="1" applyFont="1" applyFill="1" applyBorder="1" applyAlignment="1">
      <alignment horizontal="center"/>
    </xf>
    <xf numFmtId="167" fontId="5" fillId="0" borderId="0" xfId="4" applyNumberFormat="1" applyFont="1" applyFill="1" applyBorder="1" applyAlignment="1">
      <alignment horizontal="center"/>
    </xf>
    <xf numFmtId="165" fontId="5" fillId="0" borderId="0" xfId="4" applyNumberFormat="1" applyFont="1" applyFill="1" applyBorder="1" applyAlignment="1">
      <alignment horizontal="center"/>
    </xf>
    <xf numFmtId="15" fontId="5" fillId="0" borderId="0" xfId="4" applyNumberFormat="1" applyFont="1" applyFill="1" applyBorder="1" applyAlignment="1">
      <alignment horizontal="center"/>
    </xf>
    <xf numFmtId="9" fontId="5" fillId="0" borderId="0" xfId="4" applyNumberFormat="1" applyFont="1" applyFill="1" applyBorder="1" applyAlignment="1">
      <alignment horizontal="center"/>
    </xf>
    <xf numFmtId="0" fontId="32" fillId="0" borderId="0" xfId="0" applyFont="1" applyFill="1" applyBorder="1" applyAlignment="1">
      <alignment horizontal="center" vertical="center"/>
    </xf>
    <xf numFmtId="200" fontId="5" fillId="0" borderId="0" xfId="4" applyNumberFormat="1" applyFont="1" applyFill="1" applyBorder="1" applyAlignment="1">
      <alignment horizontal="center"/>
    </xf>
    <xf numFmtId="0" fontId="53" fillId="0" borderId="0" xfId="0" applyFont="1" applyFill="1" applyBorder="1" applyAlignment="1">
      <alignment vertical="center" wrapText="1"/>
    </xf>
    <xf numFmtId="0" fontId="32" fillId="0" borderId="0" xfId="0" applyFont="1" applyFill="1" applyBorder="1" applyAlignment="1">
      <alignment vertical="center"/>
    </xf>
    <xf numFmtId="9" fontId="32" fillId="0" borderId="0" xfId="0" applyNumberFormat="1" applyFont="1" applyFill="1" applyBorder="1" applyAlignment="1">
      <alignment horizontal="center" vertical="center"/>
    </xf>
    <xf numFmtId="3" fontId="32" fillId="0" borderId="0" xfId="0" applyNumberFormat="1" applyFont="1" applyFill="1" applyBorder="1" applyAlignment="1">
      <alignment horizontal="center" vertical="center"/>
    </xf>
    <xf numFmtId="15" fontId="32" fillId="0" borderId="0" xfId="0" applyNumberFormat="1" applyFont="1" applyFill="1" applyBorder="1" applyAlignment="1">
      <alignment horizontal="center" vertical="center"/>
    </xf>
    <xf numFmtId="0" fontId="4" fillId="0" borderId="0" xfId="4" applyFont="1" applyFill="1" applyBorder="1" applyAlignment="1">
      <alignment horizontal="center"/>
    </xf>
    <xf numFmtId="200" fontId="4" fillId="0" borderId="0" xfId="4" applyNumberFormat="1" applyFont="1" applyFill="1" applyBorder="1" applyAlignment="1">
      <alignment horizontal="centerContinuous"/>
    </xf>
    <xf numFmtId="10" fontId="4" fillId="0" borderId="0" xfId="4" applyNumberFormat="1" applyFont="1" applyFill="1" applyBorder="1" applyAlignment="1">
      <alignment horizontal="centerContinuous"/>
    </xf>
    <xf numFmtId="0" fontId="5" fillId="0" borderId="0" xfId="4" applyFont="1" applyFill="1" applyBorder="1" applyAlignment="1">
      <alignment horizontal="center"/>
    </xf>
    <xf numFmtId="0" fontId="9" fillId="0" borderId="0" xfId="4" applyFont="1" applyFill="1" applyBorder="1"/>
    <xf numFmtId="164" fontId="4" fillId="0" borderId="0" xfId="4" applyNumberFormat="1" applyFont="1" applyFill="1" applyBorder="1" applyAlignment="1">
      <alignment horizontal="center"/>
    </xf>
    <xf numFmtId="192" fontId="4" fillId="0" borderId="0" xfId="4" applyNumberFormat="1" applyFont="1" applyFill="1" applyBorder="1" applyAlignment="1">
      <alignment horizontal="center"/>
    </xf>
    <xf numFmtId="164" fontId="5" fillId="0" borderId="0" xfId="4" applyNumberFormat="1" applyFont="1" applyFill="1" applyBorder="1" applyAlignment="1">
      <alignment horizontal="center"/>
    </xf>
    <xf numFmtId="201" fontId="5" fillId="0" borderId="0" xfId="4" applyNumberFormat="1" applyFont="1" applyFill="1" applyBorder="1" applyAlignment="1">
      <alignment horizontal="center"/>
    </xf>
    <xf numFmtId="202" fontId="5" fillId="0" borderId="0" xfId="4" applyNumberFormat="1" applyFont="1" applyFill="1" applyBorder="1" applyAlignment="1">
      <alignment horizontal="center"/>
    </xf>
    <xf numFmtId="164" fontId="32" fillId="0" borderId="0" xfId="0" applyNumberFormat="1" applyFont="1" applyFill="1" applyBorder="1" applyAlignment="1">
      <alignment horizontal="center" vertical="center"/>
    </xf>
    <xf numFmtId="167" fontId="4" fillId="0" borderId="0" xfId="4" applyNumberFormat="1" applyFont="1" applyFill="1" applyBorder="1" applyAlignment="1">
      <alignment horizontal="centerContinuous"/>
    </xf>
    <xf numFmtId="0" fontId="37" fillId="0" borderId="0" xfId="4" applyFont="1" applyFill="1" applyBorder="1"/>
    <xf numFmtId="199" fontId="9" fillId="0" borderId="0" xfId="4" applyNumberFormat="1" applyFont="1" applyFill="1" applyBorder="1" applyAlignment="1">
      <alignment horizontal="right"/>
    </xf>
    <xf numFmtId="0" fontId="47" fillId="0" borderId="0" xfId="4" applyFont="1" applyFill="1" applyBorder="1"/>
    <xf numFmtId="175" fontId="4" fillId="0" borderId="0" xfId="4" applyNumberFormat="1" applyFont="1" applyFill="1" applyBorder="1"/>
    <xf numFmtId="0" fontId="49" fillId="0" borderId="0" xfId="4" applyFont="1" applyFill="1" applyBorder="1"/>
    <xf numFmtId="200" fontId="3" fillId="0" borderId="0" xfId="4" applyNumberFormat="1" applyFont="1" applyFill="1" applyBorder="1"/>
    <xf numFmtId="201" fontId="3" fillId="0" borderId="0" xfId="4" applyNumberFormat="1" applyFont="1" applyFill="1" applyBorder="1"/>
    <xf numFmtId="200" fontId="3" fillId="0" borderId="0" xfId="4" applyNumberFormat="1" applyFont="1" applyFill="1" applyBorder="1" applyAlignment="1">
      <alignment horizontal="right"/>
    </xf>
    <xf numFmtId="9" fontId="3" fillId="0" borderId="0" xfId="3" applyFont="1" applyFill="1" applyBorder="1"/>
    <xf numFmtId="196" fontId="3" fillId="0" borderId="0" xfId="3" applyNumberFormat="1" applyFont="1" applyFill="1" applyBorder="1"/>
    <xf numFmtId="207" fontId="3" fillId="0" borderId="0" xfId="4" applyNumberFormat="1" applyFont="1" applyFill="1" applyBorder="1"/>
    <xf numFmtId="175" fontId="3" fillId="0" borderId="0" xfId="4" applyNumberFormat="1" applyFont="1" applyFill="1" applyBorder="1"/>
    <xf numFmtId="167" fontId="14" fillId="0" borderId="0" xfId="4" applyNumberFormat="1" applyFont="1" applyFill="1" applyBorder="1"/>
    <xf numFmtId="0" fontId="0" fillId="0" borderId="0" xfId="0" applyFill="1" applyBorder="1"/>
    <xf numFmtId="0" fontId="0" fillId="0" borderId="0" xfId="0" applyFont="1" applyFill="1" applyBorder="1"/>
    <xf numFmtId="0" fontId="54" fillId="0" borderId="0" xfId="0" applyFont="1" applyFill="1" applyBorder="1" applyAlignment="1">
      <alignment vertical="top" wrapText="1"/>
    </xf>
    <xf numFmtId="171" fontId="55" fillId="0" borderId="0" xfId="0" applyNumberFormat="1" applyFont="1" applyFill="1" applyBorder="1" applyAlignment="1">
      <alignment horizontal="center" vertical="top" wrapText="1"/>
    </xf>
    <xf numFmtId="0" fontId="56" fillId="0" borderId="0" xfId="0" applyFont="1" applyFill="1" applyBorder="1" applyAlignment="1">
      <alignment horizontal="left" vertical="center" wrapText="1"/>
    </xf>
    <xf numFmtId="10" fontId="55" fillId="0" borderId="0" xfId="0" applyNumberFormat="1" applyFont="1" applyFill="1" applyBorder="1" applyAlignment="1">
      <alignment horizontal="center" vertical="top" wrapText="1"/>
    </xf>
    <xf numFmtId="10" fontId="55" fillId="0" borderId="0" xfId="3" applyNumberFormat="1" applyFont="1" applyFill="1" applyBorder="1" applyAlignment="1">
      <alignment horizontal="center" vertical="top" wrapText="1"/>
    </xf>
    <xf numFmtId="0" fontId="57" fillId="0" borderId="0" xfId="0" applyFont="1" applyFill="1" applyBorder="1" applyAlignment="1">
      <alignment horizontal="left" vertical="center" wrapText="1"/>
    </xf>
    <xf numFmtId="2" fontId="55" fillId="0" borderId="0" xfId="0" applyNumberFormat="1" applyFont="1" applyFill="1" applyBorder="1" applyAlignment="1">
      <alignment horizontal="center" vertical="top" wrapText="1"/>
    </xf>
    <xf numFmtId="0" fontId="58" fillId="0" borderId="0"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4" fillId="0" borderId="0" xfId="0" applyFont="1" applyBorder="1" applyAlignment="1">
      <alignment vertical="top" wrapText="1"/>
    </xf>
    <xf numFmtId="164" fontId="55" fillId="0" borderId="0" xfId="3" applyNumberFormat="1" applyFont="1" applyFill="1" applyBorder="1" applyAlignment="1">
      <alignment horizontal="center" vertical="center" wrapText="1"/>
    </xf>
    <xf numFmtId="0" fontId="60" fillId="0" borderId="0" xfId="0" applyFont="1"/>
    <xf numFmtId="167" fontId="3" fillId="0" borderId="0" xfId="4" applyNumberFormat="1" applyFont="1" applyFill="1" applyBorder="1"/>
    <xf numFmtId="176" fontId="19" fillId="15" borderId="0" xfId="4" applyNumberFormat="1" applyFont="1" applyFill="1" applyBorder="1" applyAlignment="1">
      <alignment horizontal="center"/>
    </xf>
    <xf numFmtId="8" fontId="17" fillId="0" borderId="0" xfId="4" applyNumberFormat="1" applyFont="1" applyFill="1" applyBorder="1"/>
    <xf numFmtId="1" fontId="4" fillId="0" borderId="22" xfId="4" applyNumberFormat="1" applyFont="1" applyFill="1" applyBorder="1" applyAlignment="1">
      <alignment horizontal="center"/>
    </xf>
    <xf numFmtId="164" fontId="35" fillId="2" borderId="0" xfId="4" applyNumberFormat="1" applyFont="1" applyFill="1" applyBorder="1"/>
    <xf numFmtId="199" fontId="4" fillId="0" borderId="9" xfId="4" applyNumberFormat="1" applyFont="1" applyFill="1" applyBorder="1" applyAlignment="1">
      <alignment horizontal="center"/>
    </xf>
    <xf numFmtId="164" fontId="4" fillId="9" borderId="1" xfId="3" applyNumberFormat="1" applyFont="1" applyFill="1" applyBorder="1"/>
    <xf numFmtId="0" fontId="5" fillId="9" borderId="23" xfId="4" applyFont="1" applyFill="1" applyBorder="1" applyAlignment="1">
      <alignment horizontal="center"/>
    </xf>
    <xf numFmtId="0" fontId="5" fillId="9" borderId="0" xfId="4" applyFont="1" applyFill="1" applyAlignment="1">
      <alignment horizontal="center" vertical="center"/>
    </xf>
    <xf numFmtId="0" fontId="4" fillId="8" borderId="1" xfId="4" applyFont="1" applyFill="1" applyBorder="1"/>
    <xf numFmtId="0" fontId="4" fillId="8" borderId="1" xfId="4" applyFont="1" applyFill="1" applyBorder="1" applyAlignment="1">
      <alignment horizontal="left"/>
    </xf>
    <xf numFmtId="1" fontId="4" fillId="8" borderId="0" xfId="4" applyNumberFormat="1" applyFont="1" applyFill="1" applyBorder="1" applyAlignment="1">
      <alignment horizontal="center"/>
    </xf>
    <xf numFmtId="164" fontId="4" fillId="8" borderId="1" xfId="4" applyNumberFormat="1" applyFont="1" applyFill="1" applyBorder="1"/>
    <xf numFmtId="10" fontId="5" fillId="0" borderId="1" xfId="4" applyNumberFormat="1" applyFont="1" applyFill="1" applyBorder="1"/>
    <xf numFmtId="0" fontId="2" fillId="9" borderId="18" xfId="4" applyFill="1" applyBorder="1"/>
    <xf numFmtId="10" fontId="35" fillId="0" borderId="1" xfId="4" applyNumberFormat="1" applyFont="1" applyFill="1" applyBorder="1"/>
    <xf numFmtId="10" fontId="5" fillId="0" borderId="1" xfId="4" applyNumberFormat="1" applyFont="1" applyFill="1" applyBorder="1" applyAlignment="1">
      <alignment horizontal="right"/>
    </xf>
    <xf numFmtId="10" fontId="5" fillId="0" borderId="18" xfId="4" applyNumberFormat="1" applyFont="1" applyFill="1" applyBorder="1" applyAlignment="1">
      <alignment horizontal="right"/>
    </xf>
    <xf numFmtId="0" fontId="5" fillId="9" borderId="0" xfId="4" applyFont="1" applyFill="1" applyAlignment="1">
      <alignment horizontal="center"/>
    </xf>
    <xf numFmtId="199" fontId="4" fillId="0" borderId="0" xfId="4" applyNumberFormat="1" applyFont="1" applyFill="1" applyBorder="1" applyAlignment="1">
      <alignment horizontal="left"/>
    </xf>
    <xf numFmtId="164" fontId="5" fillId="9" borderId="0" xfId="3" applyNumberFormat="1" applyFont="1" applyFill="1" applyBorder="1" applyAlignment="1">
      <alignment horizontal="left"/>
    </xf>
    <xf numFmtId="204" fontId="5" fillId="0" borderId="0" xfId="4" quotePrefix="1" applyNumberFormat="1" applyFont="1" applyFill="1" applyBorder="1" applyAlignment="1">
      <alignment horizontal="right"/>
    </xf>
    <xf numFmtId="199" fontId="5" fillId="0" borderId="0" xfId="4" applyNumberFormat="1" applyFont="1" applyFill="1" applyBorder="1" applyAlignment="1"/>
    <xf numFmtId="199" fontId="4" fillId="0" borderId="1" xfId="4" applyNumberFormat="1" applyFont="1" applyFill="1" applyBorder="1" applyAlignment="1">
      <alignment horizontal="left"/>
    </xf>
    <xf numFmtId="199" fontId="4" fillId="0" borderId="1" xfId="4" applyNumberFormat="1" applyFont="1" applyFill="1" applyBorder="1" applyAlignment="1"/>
    <xf numFmtId="164" fontId="4" fillId="9" borderId="0" xfId="3" applyNumberFormat="1" applyFont="1" applyFill="1" applyBorder="1" applyAlignment="1">
      <alignment horizontal="center"/>
    </xf>
    <xf numFmtId="164" fontId="5" fillId="0" borderId="22" xfId="3" applyNumberFormat="1" applyFont="1" applyFill="1" applyBorder="1" applyAlignment="1">
      <alignment horizontal="center"/>
    </xf>
    <xf numFmtId="0" fontId="4" fillId="9" borderId="0" xfId="4" applyFont="1" applyFill="1" applyAlignment="1">
      <alignment horizontal="center"/>
    </xf>
    <xf numFmtId="0" fontId="42" fillId="2" borderId="38" xfId="0" applyFont="1" applyFill="1" applyBorder="1" applyAlignment="1">
      <alignment horizontal="left" vertical="center" wrapText="1"/>
    </xf>
    <xf numFmtId="0" fontId="39" fillId="2" borderId="39" xfId="0" applyFont="1" applyFill="1" applyBorder="1" applyAlignment="1">
      <alignment vertical="top" wrapText="1"/>
    </xf>
    <xf numFmtId="0" fontId="5" fillId="0" borderId="41" xfId="0" applyFont="1" applyBorder="1" applyAlignment="1">
      <alignment vertical="top" wrapText="1"/>
    </xf>
    <xf numFmtId="0" fontId="5" fillId="0" borderId="42" xfId="0" applyFont="1" applyBorder="1" applyAlignment="1">
      <alignment vertical="top" wrapText="1"/>
    </xf>
    <xf numFmtId="0" fontId="5" fillId="0" borderId="43" xfId="0" applyFont="1" applyBorder="1" applyAlignment="1">
      <alignment vertical="top" wrapText="1"/>
    </xf>
    <xf numFmtId="0" fontId="42" fillId="0" borderId="44" xfId="0" applyFont="1" applyFill="1" applyBorder="1" applyAlignment="1">
      <alignment horizontal="left" vertical="center" wrapText="1"/>
    </xf>
    <xf numFmtId="0" fontId="5" fillId="0" borderId="45" xfId="0" applyFont="1" applyFill="1" applyBorder="1" applyAlignment="1">
      <alignment vertical="top" wrapText="1"/>
    </xf>
    <xf numFmtId="0" fontId="5" fillId="0" borderId="51" xfId="0" applyFont="1" applyBorder="1" applyAlignment="1">
      <alignment vertical="top" wrapText="1"/>
    </xf>
    <xf numFmtId="0" fontId="41" fillId="0" borderId="40" xfId="0" applyFont="1" applyFill="1" applyBorder="1" applyAlignment="1">
      <alignment horizontal="left" vertical="center" wrapText="1"/>
    </xf>
    <xf numFmtId="0" fontId="41" fillId="0" borderId="46" xfId="0" applyFont="1" applyFill="1" applyBorder="1" applyAlignment="1">
      <alignment horizontal="left" vertical="center" wrapText="1"/>
    </xf>
    <xf numFmtId="0" fontId="41" fillId="0" borderId="47" xfId="0" applyFont="1" applyFill="1" applyBorder="1" applyAlignment="1">
      <alignment horizontal="left" vertical="center" wrapText="1"/>
    </xf>
    <xf numFmtId="0" fontId="40" fillId="0" borderId="47" xfId="0" applyFont="1" applyFill="1" applyBorder="1" applyAlignment="1">
      <alignment horizontal="left" vertical="center" wrapText="1"/>
    </xf>
    <xf numFmtId="0" fontId="40" fillId="0" borderId="48" xfId="0" applyFont="1" applyFill="1" applyBorder="1" applyAlignment="1">
      <alignment horizontal="left" vertical="center" wrapText="1"/>
    </xf>
    <xf numFmtId="0" fontId="41" fillId="0" borderId="72" xfId="0" applyFont="1" applyFill="1" applyBorder="1" applyAlignment="1">
      <alignment horizontal="left" vertical="center" wrapText="1"/>
    </xf>
    <xf numFmtId="0" fontId="39" fillId="0" borderId="73" xfId="0" applyFont="1" applyBorder="1" applyAlignment="1">
      <alignment vertical="top" wrapText="1"/>
    </xf>
    <xf numFmtId="0" fontId="41" fillId="0" borderId="74" xfId="0" applyFont="1" applyFill="1" applyBorder="1" applyAlignment="1">
      <alignment horizontal="left" vertical="center" wrapText="1"/>
    </xf>
    <xf numFmtId="0" fontId="39" fillId="0" borderId="75" xfId="0" applyFont="1" applyBorder="1" applyAlignment="1">
      <alignment vertical="top" wrapText="1"/>
    </xf>
    <xf numFmtId="0" fontId="41" fillId="0" borderId="44" xfId="0" applyFont="1" applyFill="1" applyBorder="1" applyAlignment="1">
      <alignment horizontal="left" vertical="center" wrapText="1"/>
    </xf>
    <xf numFmtId="0" fontId="39" fillId="0" borderId="45" xfId="0" applyFont="1" applyBorder="1" applyAlignment="1">
      <alignment vertical="top" wrapText="1"/>
    </xf>
    <xf numFmtId="0" fontId="41" fillId="0" borderId="76" xfId="0" applyFont="1" applyFill="1" applyBorder="1" applyAlignment="1">
      <alignment horizontal="left" vertical="center" wrapText="1"/>
    </xf>
    <xf numFmtId="0" fontId="39" fillId="0" borderId="78" xfId="0" applyFont="1" applyBorder="1" applyAlignment="1">
      <alignment vertical="top" wrapText="1"/>
    </xf>
    <xf numFmtId="0" fontId="12" fillId="16" borderId="35" xfId="4" applyFont="1" applyFill="1" applyBorder="1" applyAlignment="1"/>
    <xf numFmtId="0" fontId="11" fillId="16" borderId="36" xfId="4" applyFont="1" applyFill="1" applyBorder="1"/>
    <xf numFmtId="0" fontId="11" fillId="16" borderId="37" xfId="4" applyFont="1" applyFill="1" applyBorder="1"/>
    <xf numFmtId="0" fontId="30" fillId="16" borderId="0" xfId="4" applyFont="1" applyFill="1" applyBorder="1"/>
    <xf numFmtId="0" fontId="9" fillId="16" borderId="0" xfId="4" applyFont="1" applyFill="1" applyBorder="1"/>
    <xf numFmtId="0" fontId="29" fillId="16" borderId="0" xfId="4" applyFont="1" applyFill="1" applyBorder="1"/>
    <xf numFmtId="0" fontId="30" fillId="16" borderId="1" xfId="11" applyNumberFormat="1" applyFont="1" applyFill="1" applyBorder="1"/>
    <xf numFmtId="0" fontId="5" fillId="16" borderId="1" xfId="11" applyFont="1" applyFill="1" applyBorder="1"/>
    <xf numFmtId="0" fontId="30" fillId="16" borderId="0" xfId="11" applyNumberFormat="1" applyFont="1" applyFill="1" applyBorder="1"/>
    <xf numFmtId="0" fontId="29" fillId="16" borderId="1" xfId="11" applyFont="1" applyFill="1" applyBorder="1"/>
    <xf numFmtId="0" fontId="29" fillId="16" borderId="0" xfId="11" applyFont="1" applyFill="1" applyBorder="1"/>
    <xf numFmtId="0" fontId="30" fillId="16" borderId="0" xfId="5" applyFont="1" applyFill="1" applyBorder="1">
      <alignment vertical="top"/>
    </xf>
    <xf numFmtId="0" fontId="2" fillId="16" borderId="0" xfId="4" applyFont="1" applyFill="1" applyBorder="1"/>
    <xf numFmtId="0" fontId="2" fillId="16" borderId="2" xfId="4" applyFont="1" applyFill="1" applyBorder="1"/>
    <xf numFmtId="0" fontId="38" fillId="16" borderId="26" xfId="9" applyFont="1" applyFill="1" applyBorder="1" applyAlignment="1" applyProtection="1"/>
    <xf numFmtId="0" fontId="5" fillId="16" borderId="26" xfId="9" applyFont="1" applyFill="1" applyBorder="1" applyAlignment="1" applyProtection="1"/>
    <xf numFmtId="0" fontId="19" fillId="16" borderId="26" xfId="4" applyFont="1" applyFill="1" applyBorder="1"/>
    <xf numFmtId="0" fontId="19" fillId="16" borderId="26" xfId="9" applyFont="1" applyFill="1" applyBorder="1" applyAlignment="1" applyProtection="1"/>
    <xf numFmtId="0" fontId="62" fillId="16" borderId="35" xfId="0" applyFont="1" applyFill="1" applyBorder="1" applyAlignment="1">
      <alignment horizontal="left" vertical="center" wrapText="1"/>
    </xf>
    <xf numFmtId="0" fontId="43" fillId="16" borderId="36" xfId="0" applyFont="1" applyFill="1" applyBorder="1" applyAlignment="1">
      <alignment horizontal="left" vertical="center" wrapText="1"/>
    </xf>
    <xf numFmtId="0" fontId="43" fillId="16" borderId="37" xfId="0" applyFont="1" applyFill="1" applyBorder="1" applyAlignment="1">
      <alignment horizontal="left" vertical="center" wrapText="1"/>
    </xf>
    <xf numFmtId="0" fontId="62" fillId="16" borderId="44" xfId="0" applyFont="1" applyFill="1" applyBorder="1" applyAlignment="1">
      <alignment horizontal="left" vertical="center" wrapText="1"/>
    </xf>
    <xf numFmtId="0" fontId="43" fillId="16" borderId="0" xfId="0" applyFont="1" applyFill="1" applyBorder="1" applyAlignment="1">
      <alignment horizontal="left" vertical="center" wrapText="1"/>
    </xf>
    <xf numFmtId="0" fontId="43" fillId="16" borderId="45" xfId="0" applyFont="1" applyFill="1" applyBorder="1" applyAlignment="1">
      <alignment horizontal="left" vertical="center" wrapText="1"/>
    </xf>
    <xf numFmtId="0" fontId="42" fillId="8" borderId="38" xfId="0" applyFont="1" applyFill="1" applyBorder="1" applyAlignment="1">
      <alignment horizontal="left" vertical="center" wrapText="1"/>
    </xf>
    <xf numFmtId="0" fontId="39" fillId="8" borderId="29" xfId="0" applyFont="1" applyFill="1" applyBorder="1" applyAlignment="1">
      <alignment horizontal="center" vertical="top" wrapText="1"/>
    </xf>
    <xf numFmtId="0" fontId="39" fillId="8" borderId="39" xfId="0" applyFont="1" applyFill="1" applyBorder="1" applyAlignment="1">
      <alignment vertical="top" wrapText="1"/>
    </xf>
    <xf numFmtId="2" fontId="39" fillId="8" borderId="28" xfId="0" applyNumberFormat="1" applyFont="1" applyFill="1" applyBorder="1" applyAlignment="1">
      <alignment horizontal="center" vertical="center" wrapText="1"/>
    </xf>
    <xf numFmtId="171" fontId="39" fillId="8" borderId="49" xfId="0" applyNumberFormat="1" applyFont="1" applyFill="1" applyBorder="1" applyAlignment="1">
      <alignment horizontal="center" vertical="center" wrapText="1"/>
    </xf>
    <xf numFmtId="196" fontId="39" fillId="0" borderId="27" xfId="0" applyNumberFormat="1" applyFont="1" applyFill="1" applyBorder="1" applyAlignment="1">
      <alignment horizontal="center" vertical="center" wrapText="1"/>
    </xf>
    <xf numFmtId="196" fontId="39" fillId="0" borderId="50" xfId="0" applyNumberFormat="1" applyFont="1" applyFill="1" applyBorder="1" applyAlignment="1">
      <alignment horizontal="center" vertical="center" wrapText="1"/>
    </xf>
    <xf numFmtId="0" fontId="30" fillId="16" borderId="35" xfId="4" applyFont="1" applyFill="1" applyBorder="1" applyAlignment="1"/>
    <xf numFmtId="0" fontId="30" fillId="16" borderId="36" xfId="4" applyFont="1" applyFill="1" applyBorder="1" applyAlignment="1"/>
    <xf numFmtId="0" fontId="9" fillId="16" borderId="36" xfId="4" applyFont="1" applyFill="1" applyBorder="1" applyAlignment="1">
      <alignment horizontal="right"/>
    </xf>
    <xf numFmtId="0" fontId="9" fillId="16" borderId="37" xfId="4" applyFont="1" applyFill="1" applyBorder="1" applyAlignment="1">
      <alignment horizontal="right"/>
    </xf>
    <xf numFmtId="0" fontId="30" fillId="16" borderId="0" xfId="4" applyFont="1" applyFill="1" applyBorder="1" applyAlignment="1"/>
    <xf numFmtId="0" fontId="9" fillId="16" borderId="0" xfId="4" applyFont="1" applyFill="1" applyBorder="1" applyAlignment="1">
      <alignment horizontal="right"/>
    </xf>
    <xf numFmtId="0" fontId="43" fillId="16" borderId="35" xfId="0" applyFont="1" applyFill="1" applyBorder="1" applyAlignment="1">
      <alignment horizontal="left" vertical="center" wrapText="1"/>
    </xf>
    <xf numFmtId="171" fontId="39" fillId="8" borderId="34" xfId="3" applyNumberFormat="1" applyFont="1" applyFill="1" applyBorder="1" applyAlignment="1">
      <alignment horizontal="center" vertical="center" wrapText="1"/>
    </xf>
    <xf numFmtId="164" fontId="39" fillId="8" borderId="33" xfId="3" applyNumberFormat="1" applyFont="1" applyFill="1" applyBorder="1" applyAlignment="1">
      <alignment horizontal="center" vertical="center" wrapText="1"/>
    </xf>
    <xf numFmtId="171" fontId="39" fillId="8" borderId="0" xfId="3" applyNumberFormat="1" applyFont="1" applyFill="1" applyBorder="1" applyAlignment="1">
      <alignment horizontal="center" vertical="center" wrapText="1"/>
    </xf>
    <xf numFmtId="164" fontId="39" fillId="8" borderId="77" xfId="3" applyNumberFormat="1" applyFont="1" applyFill="1" applyBorder="1" applyAlignment="1">
      <alignment horizontal="center" vertical="center" wrapText="1"/>
    </xf>
    <xf numFmtId="0" fontId="61" fillId="8" borderId="44" xfId="0" applyFont="1" applyFill="1" applyBorder="1" applyAlignment="1">
      <alignment horizontal="left" vertical="center" wrapText="1"/>
    </xf>
    <xf numFmtId="0" fontId="61" fillId="8" borderId="0" xfId="0" applyFont="1" applyFill="1" applyBorder="1" applyAlignment="1">
      <alignment horizontal="center" vertical="center" wrapText="1"/>
    </xf>
    <xf numFmtId="0" fontId="61" fillId="8" borderId="45" xfId="0" applyFont="1" applyFill="1" applyBorder="1" applyAlignment="1">
      <alignment horizontal="left" vertical="center" wrapText="1"/>
    </xf>
    <xf numFmtId="0" fontId="5" fillId="0" borderId="4" xfId="4" applyNumberFormat="1" applyFont="1" applyFill="1" applyBorder="1" applyAlignment="1">
      <alignment horizontal="center"/>
    </xf>
    <xf numFmtId="43" fontId="5" fillId="9" borderId="0" xfId="4" applyNumberFormat="1" applyFont="1" applyFill="1"/>
    <xf numFmtId="0" fontId="35" fillId="0" borderId="23" xfId="4" applyNumberFormat="1" applyFont="1" applyFill="1" applyBorder="1" applyAlignment="1">
      <alignment horizontal="center"/>
    </xf>
    <xf numFmtId="182" fontId="5" fillId="0" borderId="23" xfId="4" applyNumberFormat="1" applyFont="1" applyFill="1" applyBorder="1" applyAlignment="1">
      <alignment horizontal="left"/>
    </xf>
    <xf numFmtId="0" fontId="5" fillId="0" borderId="1" xfId="4" applyNumberFormat="1" applyFont="1" applyFill="1" applyBorder="1" applyAlignment="1">
      <alignment horizontal="center"/>
    </xf>
    <xf numFmtId="0" fontId="52" fillId="9" borderId="1" xfId="4" applyFont="1" applyFill="1" applyBorder="1"/>
    <xf numFmtId="0" fontId="4" fillId="0" borderId="22" xfId="4" applyFont="1" applyFill="1" applyBorder="1" applyAlignment="1">
      <alignment horizontal="center"/>
    </xf>
    <xf numFmtId="171" fontId="4" fillId="0" borderId="79" xfId="4" applyNumberFormat="1" applyFont="1" applyFill="1" applyBorder="1" applyAlignment="1">
      <alignment horizontal="center"/>
    </xf>
    <xf numFmtId="171" fontId="4" fillId="0" borderId="81" xfId="4" applyNumberFormat="1" applyFont="1" applyFill="1" applyBorder="1" applyAlignment="1">
      <alignment horizontal="center"/>
    </xf>
    <xf numFmtId="171" fontId="4" fillId="0" borderId="80" xfId="4" applyNumberFormat="1" applyFont="1" applyFill="1" applyBorder="1" applyAlignment="1">
      <alignment horizontal="center"/>
    </xf>
    <xf numFmtId="175" fontId="4" fillId="0" borderId="79" xfId="4" applyNumberFormat="1" applyFont="1" applyFill="1" applyBorder="1" applyAlignment="1">
      <alignment horizontal="center"/>
    </xf>
    <xf numFmtId="175" fontId="4" fillId="0" borderId="80" xfId="4" applyNumberFormat="1" applyFont="1" applyFill="1" applyBorder="1" applyAlignment="1">
      <alignment horizontal="center"/>
    </xf>
    <xf numFmtId="0" fontId="2" fillId="0" borderId="0" xfId="4" applyFill="1" applyBorder="1" applyAlignment="1">
      <alignment horizontal="center"/>
    </xf>
    <xf numFmtId="0" fontId="4" fillId="0" borderId="9" xfId="4" applyFont="1" applyFill="1" applyBorder="1" applyAlignment="1">
      <alignment horizontal="center"/>
    </xf>
    <xf numFmtId="167" fontId="4" fillId="0" borderId="79" xfId="4" applyNumberFormat="1" applyFont="1" applyFill="1" applyBorder="1" applyAlignment="1">
      <alignment horizontal="center"/>
    </xf>
    <xf numFmtId="167" fontId="4" fillId="0" borderId="80" xfId="4" applyNumberFormat="1" applyFont="1" applyFill="1" applyBorder="1" applyAlignment="1">
      <alignment horizontal="center"/>
    </xf>
    <xf numFmtId="180" fontId="4" fillId="0" borderId="79" xfId="4" applyNumberFormat="1" applyFont="1" applyFill="1" applyBorder="1" applyAlignment="1">
      <alignment horizontal="center"/>
    </xf>
    <xf numFmtId="180" fontId="4" fillId="0" borderId="81" xfId="4" applyNumberFormat="1" applyFont="1" applyFill="1" applyBorder="1" applyAlignment="1">
      <alignment horizontal="center"/>
    </xf>
    <xf numFmtId="204" fontId="4" fillId="0" borderId="80" xfId="4" applyNumberFormat="1" applyFont="1" applyFill="1" applyBorder="1" applyAlignment="1">
      <alignment horizontal="center"/>
    </xf>
    <xf numFmtId="0" fontId="5" fillId="9" borderId="0" xfId="4" applyNumberFormat="1" applyFont="1" applyFill="1" applyBorder="1" applyAlignment="1">
      <alignment horizontal="center"/>
    </xf>
    <xf numFmtId="10" fontId="35" fillId="0" borderId="0" xfId="4" applyNumberFormat="1" applyFont="1" applyFill="1" applyBorder="1" applyAlignment="1">
      <alignment horizontal="center"/>
    </xf>
    <xf numFmtId="171" fontId="35" fillId="2" borderId="0" xfId="4" applyNumberFormat="1" applyFont="1" applyFill="1" applyBorder="1" applyAlignment="1">
      <alignment horizontal="center"/>
    </xf>
    <xf numFmtId="164" fontId="35" fillId="2" borderId="0" xfId="4" applyNumberFormat="1" applyFont="1" applyFill="1" applyBorder="1" applyAlignment="1">
      <alignment horizontal="center"/>
    </xf>
    <xf numFmtId="167" fontId="35" fillId="2" borderId="0" xfId="4" applyNumberFormat="1" applyFont="1" applyFill="1" applyBorder="1" applyAlignment="1">
      <alignment horizontal="center"/>
    </xf>
    <xf numFmtId="180" fontId="35" fillId="2" borderId="0" xfId="4" applyNumberFormat="1" applyFont="1" applyFill="1" applyBorder="1" applyAlignment="1">
      <alignment horizontal="center"/>
    </xf>
    <xf numFmtId="180" fontId="35" fillId="2" borderId="0" xfId="1" applyNumberFormat="1" applyFont="1" applyFill="1" applyBorder="1" applyAlignment="1">
      <alignment horizontal="center"/>
    </xf>
    <xf numFmtId="0" fontId="51" fillId="2" borderId="22" xfId="4" applyFont="1" applyFill="1" applyBorder="1" applyAlignment="1">
      <alignment horizontal="center"/>
    </xf>
    <xf numFmtId="213" fontId="5" fillId="0" borderId="0" xfId="1" applyNumberFormat="1" applyFont="1" applyFill="1" applyBorder="1" applyAlignment="1">
      <alignment horizontal="right"/>
    </xf>
    <xf numFmtId="0" fontId="17" fillId="2" borderId="86" xfId="9" applyNumberFormat="1" applyFont="1" applyFill="1" applyBorder="1" applyAlignment="1" applyProtection="1">
      <alignment horizontal="center"/>
      <protection locked="0"/>
    </xf>
    <xf numFmtId="164" fontId="35" fillId="0" borderId="0" xfId="4" applyNumberFormat="1" applyFont="1" applyFill="1" applyBorder="1" applyAlignment="1">
      <alignment horizontal="center"/>
    </xf>
    <xf numFmtId="175" fontId="4" fillId="0" borderId="0" xfId="4" applyNumberFormat="1" applyFont="1" applyFill="1" applyBorder="1" applyAlignment="1">
      <alignment horizontal="center"/>
    </xf>
    <xf numFmtId="0" fontId="5" fillId="0" borderId="44" xfId="4" applyFont="1" applyBorder="1" applyProtection="1">
      <protection locked="0"/>
    </xf>
    <xf numFmtId="0" fontId="5" fillId="0" borderId="0" xfId="4" applyFont="1" applyBorder="1" applyProtection="1">
      <protection locked="0"/>
    </xf>
    <xf numFmtId="0" fontId="4" fillId="0" borderId="18" xfId="4" applyFont="1" applyFill="1" applyBorder="1" applyAlignment="1" applyProtection="1">
      <alignment horizontal="centerContinuous"/>
      <protection locked="0"/>
    </xf>
    <xf numFmtId="0" fontId="4" fillId="0" borderId="52" xfId="4" applyFont="1" applyFill="1" applyBorder="1" applyAlignment="1" applyProtection="1">
      <alignment horizontal="centerContinuous"/>
      <protection locked="0"/>
    </xf>
    <xf numFmtId="0" fontId="8" fillId="0" borderId="53" xfId="4" applyFont="1" applyFill="1" applyBorder="1" applyProtection="1">
      <protection locked="0"/>
    </xf>
    <xf numFmtId="0" fontId="8" fillId="0" borderId="18" xfId="4" applyFont="1" applyFill="1" applyBorder="1" applyAlignment="1" applyProtection="1">
      <alignment horizontal="right"/>
      <protection locked="0"/>
    </xf>
    <xf numFmtId="0" fontId="8" fillId="0" borderId="18" xfId="4" applyFont="1" applyFill="1" applyBorder="1" applyProtection="1">
      <protection locked="0"/>
    </xf>
    <xf numFmtId="197" fontId="8" fillId="0" borderId="18" xfId="4" applyNumberFormat="1" applyFont="1" applyFill="1" applyBorder="1" applyAlignment="1" applyProtection="1">
      <alignment horizontal="right"/>
      <protection locked="0"/>
    </xf>
    <xf numFmtId="197" fontId="4" fillId="0" borderId="18" xfId="4" applyNumberFormat="1" applyFont="1" applyFill="1" applyBorder="1" applyAlignment="1" applyProtection="1">
      <alignment horizontal="right"/>
      <protection locked="0"/>
    </xf>
    <xf numFmtId="197" fontId="4" fillId="0" borderId="52" xfId="4" applyNumberFormat="1" applyFont="1" applyFill="1" applyBorder="1" applyAlignment="1" applyProtection="1">
      <alignment horizontal="right"/>
      <protection locked="0"/>
    </xf>
    <xf numFmtId="0" fontId="5" fillId="0" borderId="44" xfId="4" applyFont="1" applyFill="1" applyBorder="1" applyProtection="1">
      <protection locked="0"/>
    </xf>
    <xf numFmtId="172" fontId="5" fillId="0" borderId="0" xfId="11" applyNumberFormat="1" applyFont="1" applyFill="1" applyBorder="1" applyProtection="1">
      <protection locked="0"/>
    </xf>
    <xf numFmtId="167" fontId="4" fillId="2" borderId="0" xfId="4" applyNumberFormat="1" applyFont="1" applyFill="1" applyBorder="1" applyProtection="1">
      <protection locked="0"/>
    </xf>
    <xf numFmtId="167" fontId="4" fillId="2" borderId="1" xfId="4" applyNumberFormat="1" applyFont="1" applyFill="1" applyBorder="1" applyProtection="1">
      <protection locked="0"/>
    </xf>
    <xf numFmtId="167" fontId="4" fillId="2" borderId="55" xfId="4" applyNumberFormat="1" applyFont="1" applyFill="1" applyBorder="1" applyProtection="1">
      <protection locked="0"/>
    </xf>
    <xf numFmtId="0" fontId="5" fillId="0" borderId="45" xfId="4" applyFont="1" applyBorder="1" applyProtection="1">
      <protection locked="0"/>
    </xf>
    <xf numFmtId="0" fontId="9" fillId="6" borderId="0" xfId="4" applyFont="1" applyFill="1" applyBorder="1" applyProtection="1">
      <protection locked="0"/>
    </xf>
    <xf numFmtId="0" fontId="2" fillId="0" borderId="0" xfId="4" applyBorder="1" applyProtection="1">
      <protection locked="0"/>
    </xf>
    <xf numFmtId="0" fontId="3" fillId="0" borderId="18" xfId="4" applyFont="1" applyBorder="1" applyProtection="1">
      <protection locked="0"/>
    </xf>
    <xf numFmtId="0" fontId="3" fillId="0" borderId="0" xfId="4" applyFont="1" applyBorder="1" applyProtection="1">
      <protection locked="0"/>
    </xf>
    <xf numFmtId="0" fontId="3" fillId="0" borderId="45" xfId="4" applyFont="1" applyBorder="1" applyProtection="1">
      <protection locked="0"/>
    </xf>
    <xf numFmtId="170" fontId="5" fillId="5" borderId="44" xfId="8" applyFont="1" applyFill="1" applyBorder="1" applyAlignment="1" applyProtection="1">
      <alignment horizontal="left"/>
      <protection locked="0"/>
    </xf>
    <xf numFmtId="170" fontId="5" fillId="0" borderId="44" xfId="8" applyFont="1" applyFill="1" applyBorder="1" applyAlignment="1" applyProtection="1">
      <alignment horizontal="left"/>
      <protection locked="0"/>
    </xf>
    <xf numFmtId="169" fontId="5" fillId="0" borderId="0" xfId="9" applyNumberFormat="1" applyFont="1" applyFill="1" applyBorder="1" applyAlignment="1" applyProtection="1">
      <alignment horizontal="right"/>
      <protection locked="0"/>
    </xf>
    <xf numFmtId="15" fontId="5" fillId="0" borderId="0" xfId="4" applyNumberFormat="1" applyFont="1" applyBorder="1" applyProtection="1">
      <protection locked="0"/>
    </xf>
    <xf numFmtId="0" fontId="5" fillId="0" borderId="0" xfId="5" applyFont="1" applyBorder="1" applyProtection="1">
      <alignment vertical="top"/>
      <protection locked="0"/>
    </xf>
    <xf numFmtId="164" fontId="5" fillId="0" borderId="0" xfId="6" applyNumberFormat="1" applyFont="1" applyFill="1" applyBorder="1" applyAlignment="1" applyProtection="1">
      <alignment horizontal="right" vertical="center"/>
      <protection locked="0"/>
    </xf>
    <xf numFmtId="10" fontId="5" fillId="0" borderId="0" xfId="4" applyNumberFormat="1" applyFont="1" applyFill="1" applyBorder="1" applyAlignment="1" applyProtection="1">
      <alignment horizontal="right"/>
      <protection locked="0"/>
    </xf>
    <xf numFmtId="0" fontId="5" fillId="4" borderId="1" xfId="4" applyFont="1" applyFill="1" applyBorder="1" applyProtection="1">
      <protection locked="0"/>
    </xf>
    <xf numFmtId="170" fontId="5" fillId="5" borderId="0" xfId="8" applyFont="1" applyFill="1" applyBorder="1" applyAlignment="1" applyProtection="1">
      <alignment horizontal="left"/>
      <protection locked="0"/>
    </xf>
    <xf numFmtId="169" fontId="5" fillId="0" borderId="0" xfId="4" applyNumberFormat="1" applyFont="1" applyFill="1" applyBorder="1" applyProtection="1">
      <protection locked="0"/>
    </xf>
    <xf numFmtId="164" fontId="5" fillId="0" borderId="0" xfId="4" applyNumberFormat="1" applyFont="1" applyFill="1" applyBorder="1" applyAlignment="1" applyProtection="1">
      <alignment horizontal="right"/>
      <protection locked="0"/>
    </xf>
    <xf numFmtId="0" fontId="5" fillId="5" borderId="44" xfId="9" applyFont="1" applyFill="1" applyBorder="1" applyProtection="1">
      <protection locked="0"/>
    </xf>
    <xf numFmtId="167" fontId="5" fillId="0" borderId="0" xfId="9" applyNumberFormat="1" applyFont="1" applyFill="1" applyBorder="1" applyAlignment="1" applyProtection="1">
      <alignment horizontal="right"/>
      <protection locked="0"/>
    </xf>
    <xf numFmtId="0" fontId="5" fillId="5" borderId="0" xfId="9" applyFont="1" applyFill="1" applyBorder="1" applyProtection="1">
      <protection locked="0"/>
    </xf>
    <xf numFmtId="167" fontId="5" fillId="0" borderId="0" xfId="4" applyNumberFormat="1" applyFont="1" applyFill="1" applyBorder="1" applyProtection="1">
      <protection locked="0"/>
    </xf>
    <xf numFmtId="0" fontId="5" fillId="0" borderId="18" xfId="5" applyFont="1" applyBorder="1" applyProtection="1">
      <alignment vertical="top"/>
      <protection locked="0"/>
    </xf>
    <xf numFmtId="2" fontId="5" fillId="0" borderId="18" xfId="6" applyNumberFormat="1" applyFont="1" applyFill="1" applyBorder="1" applyAlignment="1" applyProtection="1">
      <alignment horizontal="right" vertical="center"/>
      <protection locked="0"/>
    </xf>
    <xf numFmtId="0" fontId="4" fillId="2" borderId="54" xfId="7" applyFont="1" applyFill="1" applyBorder="1" applyProtection="1">
      <protection locked="0"/>
    </xf>
    <xf numFmtId="169" fontId="4" fillId="2" borderId="1" xfId="9" applyNumberFormat="1" applyFont="1" applyFill="1" applyBorder="1" applyAlignment="1" applyProtection="1">
      <alignment horizontal="right"/>
      <protection locked="0"/>
    </xf>
    <xf numFmtId="0" fontId="4" fillId="2" borderId="1" xfId="7" applyFont="1" applyFill="1" applyBorder="1" applyProtection="1">
      <protection locked="0"/>
    </xf>
    <xf numFmtId="0" fontId="4" fillId="2" borderId="0" xfId="5" applyFont="1" applyFill="1" applyBorder="1" applyProtection="1">
      <alignment vertical="top"/>
      <protection locked="0"/>
    </xf>
    <xf numFmtId="164" fontId="4" fillId="2" borderId="0" xfId="10" applyNumberFormat="1" applyFont="1" applyFill="1" applyBorder="1" applyAlignment="1" applyProtection="1">
      <alignment horizontal="right" vertical="center"/>
      <protection locked="0"/>
    </xf>
    <xf numFmtId="170" fontId="5" fillId="5" borderId="44" xfId="8" quotePrefix="1" applyFont="1" applyFill="1" applyBorder="1" applyAlignment="1" applyProtection="1">
      <alignment horizontal="left" indent="1"/>
      <protection locked="0"/>
    </xf>
    <xf numFmtId="170" fontId="5" fillId="5" borderId="0" xfId="8" quotePrefix="1" applyFont="1" applyFill="1" applyBorder="1" applyAlignment="1" applyProtection="1">
      <alignment horizontal="left" indent="1"/>
      <protection locked="0"/>
    </xf>
    <xf numFmtId="164" fontId="5" fillId="0" borderId="18" xfId="6" applyNumberFormat="1" applyFont="1" applyFill="1" applyBorder="1" applyAlignment="1" applyProtection="1">
      <alignment horizontal="right" vertical="center"/>
      <protection locked="0"/>
    </xf>
    <xf numFmtId="170" fontId="4" fillId="2" borderId="54" xfId="8" applyFont="1" applyFill="1" applyBorder="1" applyProtection="1">
      <protection locked="0"/>
    </xf>
    <xf numFmtId="169" fontId="4" fillId="2" borderId="1" xfId="7" applyNumberFormat="1" applyFont="1" applyFill="1" applyBorder="1" applyProtection="1">
      <protection locked="0"/>
    </xf>
    <xf numFmtId="0" fontId="5" fillId="4" borderId="0" xfId="4" applyFont="1" applyFill="1" applyBorder="1" applyProtection="1">
      <protection locked="0"/>
    </xf>
    <xf numFmtId="170" fontId="4" fillId="2" borderId="1" xfId="8" applyFont="1" applyFill="1" applyBorder="1" applyProtection="1">
      <protection locked="0"/>
    </xf>
    <xf numFmtId="164" fontId="4" fillId="2" borderId="1" xfId="4" applyNumberFormat="1" applyFont="1" applyFill="1" applyBorder="1" applyAlignment="1" applyProtection="1">
      <alignment horizontal="right"/>
      <protection locked="0"/>
    </xf>
    <xf numFmtId="0" fontId="4" fillId="2" borderId="56" xfId="4" applyFont="1" applyFill="1" applyBorder="1" applyProtection="1">
      <protection locked="0"/>
    </xf>
    <xf numFmtId="166" fontId="4" fillId="2" borderId="57" xfId="4" applyNumberFormat="1" applyFont="1" applyFill="1" applyBorder="1" applyProtection="1">
      <protection locked="0"/>
    </xf>
    <xf numFmtId="0" fontId="5" fillId="0" borderId="57" xfId="4" applyFont="1" applyBorder="1" applyProtection="1">
      <protection locked="0"/>
    </xf>
    <xf numFmtId="0" fontId="4" fillId="2" borderId="57" xfId="4" applyFont="1" applyFill="1" applyBorder="1" applyProtection="1">
      <protection locked="0"/>
    </xf>
    <xf numFmtId="0" fontId="4" fillId="2" borderId="65" xfId="5" applyFont="1" applyFill="1" applyBorder="1" applyProtection="1">
      <alignment vertical="top"/>
      <protection locked="0"/>
    </xf>
    <xf numFmtId="164" fontId="4" fillId="2" borderId="65" xfId="4" applyNumberFormat="1" applyFont="1" applyFill="1" applyBorder="1" applyAlignment="1" applyProtection="1">
      <alignment horizontal="right"/>
      <protection locked="0"/>
    </xf>
    <xf numFmtId="0" fontId="3" fillId="0" borderId="57" xfId="4" applyFont="1" applyBorder="1" applyProtection="1">
      <protection locked="0"/>
    </xf>
    <xf numFmtId="0" fontId="3" fillId="0" borderId="58" xfId="4" applyFont="1" applyBorder="1" applyProtection="1">
      <protection locked="0"/>
    </xf>
    <xf numFmtId="0" fontId="5" fillId="0" borderId="44" xfId="11" applyFont="1" applyFill="1" applyBorder="1" applyProtection="1">
      <protection locked="0"/>
    </xf>
    <xf numFmtId="0" fontId="5" fillId="0" borderId="0" xfId="11" applyFont="1" applyFill="1" applyBorder="1" applyProtection="1">
      <protection locked="0"/>
    </xf>
    <xf numFmtId="0" fontId="4" fillId="0" borderId="0" xfId="4" applyFont="1" applyFill="1" applyBorder="1" applyAlignment="1" applyProtection="1">
      <alignment horizontal="centerContinuous"/>
      <protection locked="0"/>
    </xf>
    <xf numFmtId="0" fontId="3" fillId="8" borderId="44" xfId="4" applyFont="1" applyFill="1" applyBorder="1" applyProtection="1">
      <protection locked="0"/>
    </xf>
    <xf numFmtId="167" fontId="14" fillId="8" borderId="0" xfId="4" applyNumberFormat="1" applyFont="1" applyFill="1" applyBorder="1" applyProtection="1">
      <protection locked="0"/>
    </xf>
    <xf numFmtId="175" fontId="3" fillId="8" borderId="0" xfId="4" applyNumberFormat="1" applyFont="1" applyFill="1" applyBorder="1" applyProtection="1">
      <protection locked="0"/>
    </xf>
    <xf numFmtId="175" fontId="3" fillId="8" borderId="45" xfId="4" applyNumberFormat="1" applyFont="1" applyFill="1" applyBorder="1" applyProtection="1">
      <protection locked="0"/>
    </xf>
    <xf numFmtId="0" fontId="3" fillId="8" borderId="59" xfId="4" applyFont="1" applyFill="1" applyBorder="1" applyAlignment="1" applyProtection="1">
      <alignment horizontal="left"/>
      <protection locked="0"/>
    </xf>
    <xf numFmtId="167" fontId="14" fillId="8" borderId="8" xfId="4" applyNumberFormat="1" applyFont="1" applyFill="1" applyBorder="1" applyProtection="1">
      <protection locked="0"/>
    </xf>
    <xf numFmtId="175" fontId="3" fillId="8" borderId="8" xfId="4" applyNumberFormat="1" applyFont="1" applyFill="1" applyBorder="1" applyProtection="1">
      <protection locked="0"/>
    </xf>
    <xf numFmtId="175" fontId="3" fillId="8" borderId="60" xfId="4" applyNumberFormat="1" applyFont="1" applyFill="1" applyBorder="1" applyProtection="1">
      <protection locked="0"/>
    </xf>
    <xf numFmtId="0" fontId="3" fillId="8" borderId="44" xfId="4" applyFont="1" applyFill="1" applyBorder="1" applyAlignment="1" applyProtection="1">
      <alignment horizontal="left"/>
      <protection locked="0"/>
    </xf>
    <xf numFmtId="175" fontId="3" fillId="8" borderId="0" xfId="4" applyNumberFormat="1" applyFont="1" applyFill="1" applyBorder="1" applyAlignment="1" applyProtection="1">
      <alignment horizontal="right"/>
      <protection locked="0"/>
    </xf>
    <xf numFmtId="175" fontId="3" fillId="8" borderId="8" xfId="4" applyNumberFormat="1" applyFont="1" applyFill="1" applyBorder="1" applyAlignment="1" applyProtection="1">
      <alignment horizontal="right"/>
      <protection locked="0"/>
    </xf>
    <xf numFmtId="0" fontId="3" fillId="8" borderId="56" xfId="4" applyFont="1" applyFill="1" applyBorder="1" applyAlignment="1" applyProtection="1">
      <alignment horizontal="left"/>
      <protection locked="0"/>
    </xf>
    <xf numFmtId="167" fontId="14" fillId="8" borderId="57" xfId="4" applyNumberFormat="1" applyFont="1" applyFill="1" applyBorder="1" applyProtection="1">
      <protection locked="0"/>
    </xf>
    <xf numFmtId="175" fontId="3" fillId="8" borderId="57" xfId="4" applyNumberFormat="1" applyFont="1" applyFill="1" applyBorder="1" applyProtection="1">
      <protection locked="0"/>
    </xf>
    <xf numFmtId="167" fontId="5" fillId="0" borderId="0" xfId="4" applyNumberFormat="1" applyFont="1" applyBorder="1" applyProtection="1">
      <protection locked="0"/>
    </xf>
    <xf numFmtId="0" fontId="4" fillId="0" borderId="85" xfId="4" applyFont="1" applyFill="1" applyBorder="1" applyAlignment="1" applyProtection="1">
      <alignment horizontal="centerContinuous"/>
      <protection locked="0"/>
    </xf>
    <xf numFmtId="0" fontId="4" fillId="2" borderId="54" xfId="4" applyFont="1" applyFill="1" applyBorder="1" applyProtection="1">
      <protection locked="0"/>
    </xf>
    <xf numFmtId="167" fontId="5" fillId="0" borderId="45" xfId="4" applyNumberFormat="1" applyFont="1" applyBorder="1" applyProtection="1">
      <protection locked="0"/>
    </xf>
    <xf numFmtId="167" fontId="4" fillId="2" borderId="54" xfId="4" applyNumberFormat="1" applyFont="1" applyFill="1" applyBorder="1" applyProtection="1">
      <protection locked="0"/>
    </xf>
    <xf numFmtId="167" fontId="5" fillId="9" borderId="0" xfId="4" applyNumberFormat="1" applyFont="1" applyFill="1" applyBorder="1" applyProtection="1">
      <protection locked="0"/>
    </xf>
    <xf numFmtId="167" fontId="5" fillId="9" borderId="45" xfId="4" applyNumberFormat="1" applyFont="1" applyFill="1" applyBorder="1" applyProtection="1">
      <protection locked="0"/>
    </xf>
    <xf numFmtId="0" fontId="4" fillId="2" borderId="1" xfId="4" applyFont="1" applyFill="1" applyBorder="1" applyProtection="1">
      <protection locked="0"/>
    </xf>
    <xf numFmtId="0" fontId="5" fillId="0" borderId="61" xfId="4" applyFont="1" applyFill="1" applyBorder="1" applyProtection="1">
      <protection locked="0"/>
    </xf>
    <xf numFmtId="0" fontId="5" fillId="0" borderId="4" xfId="4" applyFont="1" applyFill="1" applyBorder="1" applyProtection="1">
      <protection locked="0"/>
    </xf>
    <xf numFmtId="167" fontId="5" fillId="0" borderId="4" xfId="4" applyNumberFormat="1" applyFont="1" applyFill="1" applyBorder="1" applyProtection="1">
      <protection locked="0"/>
    </xf>
    <xf numFmtId="167" fontId="5" fillId="0" borderId="62" xfId="4" applyNumberFormat="1" applyFont="1" applyFill="1" applyBorder="1" applyProtection="1">
      <protection locked="0"/>
    </xf>
    <xf numFmtId="0" fontId="4" fillId="2" borderId="44" xfId="4" applyFont="1" applyFill="1" applyBorder="1" applyProtection="1">
      <protection locked="0"/>
    </xf>
    <xf numFmtId="167" fontId="4" fillId="2" borderId="45" xfId="4" applyNumberFormat="1" applyFont="1" applyFill="1" applyBorder="1" applyProtection="1">
      <protection locked="0"/>
    </xf>
    <xf numFmtId="0" fontId="4" fillId="2" borderId="53" xfId="4" applyFont="1" applyFill="1" applyBorder="1" applyProtection="1">
      <protection locked="0"/>
    </xf>
    <xf numFmtId="167" fontId="4" fillId="2" borderId="18" xfId="4" applyNumberFormat="1" applyFont="1" applyFill="1" applyBorder="1" applyProtection="1">
      <protection locked="0"/>
    </xf>
    <xf numFmtId="167" fontId="4" fillId="2" borderId="52" xfId="4" applyNumberFormat="1" applyFont="1" applyFill="1" applyBorder="1" applyProtection="1">
      <protection locked="0"/>
    </xf>
    <xf numFmtId="0" fontId="5" fillId="9" borderId="44" xfId="4" applyFont="1" applyFill="1" applyBorder="1" applyProtection="1">
      <protection locked="0"/>
    </xf>
    <xf numFmtId="167" fontId="4" fillId="9" borderId="0" xfId="4" applyNumberFormat="1" applyFont="1" applyFill="1" applyBorder="1" applyProtection="1">
      <protection locked="0"/>
    </xf>
    <xf numFmtId="167" fontId="4" fillId="9" borderId="45" xfId="4" applyNumberFormat="1" applyFont="1" applyFill="1" applyBorder="1" applyProtection="1">
      <protection locked="0"/>
    </xf>
    <xf numFmtId="0" fontId="3" fillId="8" borderId="63" xfId="4" applyFont="1" applyFill="1" applyBorder="1" applyProtection="1">
      <protection locked="0"/>
    </xf>
    <xf numFmtId="167" fontId="3" fillId="8" borderId="7" xfId="4" applyNumberFormat="1" applyFont="1" applyFill="1" applyBorder="1" applyProtection="1">
      <protection locked="0"/>
    </xf>
    <xf numFmtId="174" fontId="3" fillId="8" borderId="7" xfId="4" applyNumberFormat="1" applyFont="1" applyFill="1" applyBorder="1" applyProtection="1">
      <protection locked="0"/>
    </xf>
    <xf numFmtId="174" fontId="3" fillId="8" borderId="64" xfId="4" applyNumberFormat="1" applyFont="1" applyFill="1" applyBorder="1" applyProtection="1">
      <protection locked="0"/>
    </xf>
    <xf numFmtId="167" fontId="3" fillId="8" borderId="0" xfId="4" applyNumberFormat="1" applyFont="1" applyFill="1" applyBorder="1" applyProtection="1">
      <protection locked="0"/>
    </xf>
    <xf numFmtId="174" fontId="3" fillId="8" borderId="0" xfId="4" applyNumberFormat="1" applyFont="1" applyFill="1" applyBorder="1" applyProtection="1">
      <protection locked="0"/>
    </xf>
    <xf numFmtId="174" fontId="3" fillId="8" borderId="45" xfId="4" applyNumberFormat="1" applyFont="1" applyFill="1" applyBorder="1" applyProtection="1">
      <protection locked="0"/>
    </xf>
    <xf numFmtId="0" fontId="4" fillId="0" borderId="44" xfId="4" applyFont="1" applyBorder="1" applyProtection="1">
      <protection locked="0"/>
    </xf>
    <xf numFmtId="0" fontId="3" fillId="2" borderId="63" xfId="11" applyFont="1" applyFill="1" applyBorder="1" applyProtection="1">
      <protection locked="0"/>
    </xf>
    <xf numFmtId="0" fontId="3" fillId="2" borderId="7" xfId="4" applyFont="1" applyFill="1" applyBorder="1" applyProtection="1">
      <protection locked="0"/>
    </xf>
    <xf numFmtId="167" fontId="3" fillId="2" borderId="7" xfId="12" applyNumberFormat="1" applyFont="1" applyFill="1" applyBorder="1" applyAlignment="1" applyProtection="1">
      <alignment horizontal="right"/>
      <protection locked="0"/>
    </xf>
    <xf numFmtId="167" fontId="3" fillId="2" borderId="7" xfId="4" applyNumberFormat="1" applyFont="1" applyFill="1" applyBorder="1" applyAlignment="1" applyProtection="1">
      <protection locked="0"/>
    </xf>
    <xf numFmtId="167" fontId="3" fillId="2" borderId="64" xfId="4" applyNumberFormat="1" applyFont="1" applyFill="1" applyBorder="1" applyAlignment="1" applyProtection="1">
      <protection locked="0"/>
    </xf>
    <xf numFmtId="0" fontId="3" fillId="2" borderId="44" xfId="11" applyFont="1" applyFill="1" applyBorder="1" applyProtection="1">
      <protection locked="0"/>
    </xf>
    <xf numFmtId="0" fontId="3" fillId="2" borderId="0" xfId="4" applyFont="1" applyFill="1" applyBorder="1" applyProtection="1">
      <protection locked="0"/>
    </xf>
    <xf numFmtId="167" fontId="3" fillId="2" borderId="0" xfId="12" applyNumberFormat="1" applyFont="1" applyFill="1" applyBorder="1" applyAlignment="1" applyProtection="1">
      <alignment horizontal="right"/>
      <protection locked="0"/>
    </xf>
    <xf numFmtId="167" fontId="3" fillId="2" borderId="0" xfId="4" applyNumberFormat="1" applyFont="1" applyFill="1" applyBorder="1" applyAlignment="1" applyProtection="1">
      <protection locked="0"/>
    </xf>
    <xf numFmtId="167" fontId="3" fillId="2" borderId="45" xfId="4" applyNumberFormat="1" applyFont="1" applyFill="1" applyBorder="1" applyAlignment="1" applyProtection="1">
      <protection locked="0"/>
    </xf>
    <xf numFmtId="173" fontId="13" fillId="2" borderId="0" xfId="4" applyNumberFormat="1" applyFont="1" applyFill="1" applyBorder="1" applyAlignment="1" applyProtection="1">
      <alignment horizontal="right"/>
      <protection locked="0"/>
    </xf>
    <xf numFmtId="173" fontId="13" fillId="2" borderId="45" xfId="4" applyNumberFormat="1" applyFont="1" applyFill="1" applyBorder="1" applyAlignment="1" applyProtection="1">
      <alignment horizontal="right"/>
      <protection locked="0"/>
    </xf>
    <xf numFmtId="0" fontId="14" fillId="2" borderId="0" xfId="4" applyFont="1" applyFill="1" applyBorder="1" applyProtection="1">
      <protection locked="0"/>
    </xf>
    <xf numFmtId="0" fontId="3" fillId="2" borderId="56" xfId="11" applyFont="1" applyFill="1" applyBorder="1" applyProtection="1">
      <protection locked="0"/>
    </xf>
    <xf numFmtId="0" fontId="3" fillId="2" borderId="57" xfId="4" applyFont="1" applyFill="1" applyBorder="1" applyProtection="1">
      <protection locked="0"/>
    </xf>
    <xf numFmtId="173" fontId="13" fillId="2" borderId="57" xfId="4" applyNumberFormat="1" applyFont="1" applyFill="1" applyBorder="1" applyAlignment="1" applyProtection="1">
      <alignment horizontal="right"/>
      <protection locked="0"/>
    </xf>
    <xf numFmtId="173" fontId="13" fillId="2" borderId="58" xfId="4" applyNumberFormat="1" applyFont="1" applyFill="1" applyBorder="1" applyAlignment="1" applyProtection="1">
      <alignment horizontal="right"/>
      <protection locked="0"/>
    </xf>
    <xf numFmtId="0" fontId="5" fillId="0" borderId="0" xfId="4" applyFont="1" applyProtection="1">
      <protection locked="0"/>
    </xf>
    <xf numFmtId="167" fontId="5" fillId="0" borderId="0" xfId="4" applyNumberFormat="1" applyFont="1" applyProtection="1">
      <protection locked="0"/>
    </xf>
    <xf numFmtId="0" fontId="5" fillId="0" borderId="5" xfId="4" applyFont="1" applyBorder="1" applyProtection="1">
      <protection locked="0"/>
    </xf>
    <xf numFmtId="0" fontId="5" fillId="0" borderId="4" xfId="4" applyFont="1" applyBorder="1" applyProtection="1">
      <protection locked="0"/>
    </xf>
    <xf numFmtId="167" fontId="5" fillId="0" borderId="4" xfId="4" applyNumberFormat="1" applyFont="1" applyBorder="1" applyProtection="1">
      <protection locked="0"/>
    </xf>
    <xf numFmtId="167" fontId="5" fillId="0" borderId="3" xfId="4" applyNumberFormat="1" applyFont="1" applyBorder="1" applyProtection="1">
      <protection locked="0"/>
    </xf>
    <xf numFmtId="0" fontId="4" fillId="0" borderId="0" xfId="4" applyFont="1" applyFill="1" applyBorder="1" applyProtection="1">
      <protection locked="0"/>
    </xf>
    <xf numFmtId="167" fontId="4" fillId="0" borderId="0" xfId="4" applyNumberFormat="1" applyFont="1" applyFill="1" applyBorder="1" applyProtection="1">
      <protection locked="0"/>
    </xf>
    <xf numFmtId="0" fontId="2" fillId="0" borderId="0" xfId="4" applyProtection="1">
      <protection locked="0"/>
    </xf>
    <xf numFmtId="0" fontId="5" fillId="8" borderId="0" xfId="4" applyFont="1" applyFill="1" applyBorder="1" applyProtection="1">
      <protection locked="0"/>
    </xf>
    <xf numFmtId="191" fontId="3" fillId="8" borderId="0" xfId="4" applyNumberFormat="1" applyFont="1" applyFill="1" applyBorder="1" applyProtection="1">
      <protection locked="0"/>
    </xf>
    <xf numFmtId="191" fontId="3" fillId="8" borderId="45" xfId="4" applyNumberFormat="1" applyFont="1" applyFill="1" applyBorder="1" applyProtection="1">
      <protection locked="0"/>
    </xf>
    <xf numFmtId="0" fontId="3" fillId="8" borderId="56" xfId="4" applyFont="1" applyFill="1" applyBorder="1" applyProtection="1">
      <protection locked="0"/>
    </xf>
    <xf numFmtId="0" fontId="5" fillId="8" borderId="57" xfId="4" applyFont="1" applyFill="1" applyBorder="1" applyProtection="1">
      <protection locked="0"/>
    </xf>
    <xf numFmtId="191" fontId="3" fillId="8" borderId="57" xfId="4" applyNumberFormat="1" applyFont="1" applyFill="1" applyBorder="1" applyProtection="1">
      <protection locked="0"/>
    </xf>
    <xf numFmtId="191" fontId="3" fillId="8" borderId="58" xfId="4" applyNumberFormat="1" applyFont="1" applyFill="1" applyBorder="1" applyProtection="1">
      <protection locked="0"/>
    </xf>
    <xf numFmtId="0" fontId="5" fillId="0" borderId="0" xfId="4" applyFont="1" applyFill="1" applyProtection="1">
      <protection locked="0"/>
    </xf>
    <xf numFmtId="167" fontId="5" fillId="0" borderId="0" xfId="4" applyNumberFormat="1" applyFont="1" applyFill="1" applyProtection="1">
      <protection locked="0"/>
    </xf>
    <xf numFmtId="0" fontId="5" fillId="0" borderId="0" xfId="4" applyFont="1" applyFill="1" applyBorder="1" applyProtection="1">
      <protection locked="0"/>
    </xf>
    <xf numFmtId="0" fontId="17" fillId="0" borderId="0" xfId="4" applyFont="1" applyFill="1" applyBorder="1" applyProtection="1">
      <protection locked="0"/>
    </xf>
    <xf numFmtId="0" fontId="20" fillId="0" borderId="0" xfId="4" applyFont="1" applyBorder="1" applyProtection="1">
      <protection locked="0"/>
    </xf>
    <xf numFmtId="0" fontId="20" fillId="7" borderId="0" xfId="4" applyFont="1" applyFill="1" applyBorder="1" applyProtection="1">
      <protection locked="0"/>
    </xf>
    <xf numFmtId="0" fontId="5" fillId="7" borderId="0" xfId="4" applyFont="1" applyFill="1" applyBorder="1" applyProtection="1">
      <protection locked="0"/>
    </xf>
    <xf numFmtId="0" fontId="2" fillId="7" borderId="0" xfId="4" applyFont="1" applyFill="1" applyProtection="1">
      <protection locked="0"/>
    </xf>
    <xf numFmtId="177" fontId="4" fillId="0" borderId="18" xfId="4" applyNumberFormat="1" applyFont="1" applyBorder="1" applyAlignment="1" applyProtection="1">
      <alignment horizontal="centerContinuous"/>
      <protection locked="0"/>
    </xf>
    <xf numFmtId="177" fontId="4" fillId="0" borderId="52" xfId="4" applyNumberFormat="1" applyFont="1" applyBorder="1" applyAlignment="1" applyProtection="1">
      <alignment horizontal="centerContinuous"/>
      <protection locked="0"/>
    </xf>
    <xf numFmtId="198" fontId="5" fillId="9" borderId="0" xfId="4" applyNumberFormat="1" applyFont="1" applyFill="1" applyBorder="1" applyProtection="1">
      <protection locked="0"/>
    </xf>
    <xf numFmtId="0" fontId="5" fillId="10" borderId="0" xfId="4" applyFont="1" applyFill="1" applyBorder="1" applyProtection="1">
      <protection locked="0"/>
    </xf>
    <xf numFmtId="0" fontId="17" fillId="2" borderId="0" xfId="4" applyNumberFormat="1" applyFont="1" applyFill="1" applyBorder="1" applyAlignment="1" applyProtection="1">
      <protection locked="0"/>
    </xf>
    <xf numFmtId="0" fontId="0" fillId="0" borderId="0" xfId="0" applyProtection="1">
      <protection locked="0"/>
    </xf>
    <xf numFmtId="0" fontId="4" fillId="0" borderId="66" xfId="4" applyNumberFormat="1" applyFont="1" applyFill="1" applyBorder="1" applyAlignment="1" applyProtection="1">
      <protection locked="0"/>
    </xf>
    <xf numFmtId="0" fontId="4" fillId="0" borderId="9" xfId="4" applyNumberFormat="1" applyFont="1" applyFill="1" applyBorder="1" applyAlignment="1" applyProtection="1">
      <protection locked="0"/>
    </xf>
    <xf numFmtId="199" fontId="4" fillId="0" borderId="9" xfId="4" applyNumberFormat="1" applyFont="1" applyFill="1" applyBorder="1" applyAlignment="1" applyProtection="1">
      <protection locked="0"/>
    </xf>
    <xf numFmtId="199" fontId="4" fillId="0" borderId="67" xfId="4" applyNumberFormat="1" applyFont="1" applyFill="1" applyBorder="1" applyAlignment="1" applyProtection="1">
      <protection locked="0"/>
    </xf>
    <xf numFmtId="0" fontId="23" fillId="0" borderId="0" xfId="4" applyFont="1" applyFill="1" applyBorder="1" applyProtection="1">
      <protection locked="0"/>
    </xf>
    <xf numFmtId="0" fontId="38" fillId="0" borderId="0" xfId="4" applyFont="1" applyFill="1" applyBorder="1" applyProtection="1">
      <protection locked="0"/>
    </xf>
    <xf numFmtId="0" fontId="5" fillId="9" borderId="0" xfId="4" applyFont="1" applyFill="1" applyProtection="1">
      <protection locked="0"/>
    </xf>
    <xf numFmtId="0" fontId="4" fillId="9" borderId="44" xfId="4" applyFont="1" applyFill="1" applyBorder="1" applyProtection="1">
      <protection locked="0"/>
    </xf>
    <xf numFmtId="0" fontId="5" fillId="9" borderId="0" xfId="4" applyFont="1" applyFill="1" applyBorder="1" applyProtection="1">
      <protection locked="0"/>
    </xf>
    <xf numFmtId="0" fontId="5" fillId="0" borderId="45" xfId="4" applyFont="1" applyFill="1" applyBorder="1" applyProtection="1">
      <protection locked="0"/>
    </xf>
    <xf numFmtId="167" fontId="5" fillId="0" borderId="45" xfId="4" applyNumberFormat="1" applyFont="1" applyFill="1" applyBorder="1" applyProtection="1">
      <protection locked="0"/>
    </xf>
    <xf numFmtId="0" fontId="5" fillId="0" borderId="1" xfId="4" applyFont="1" applyFill="1" applyBorder="1" applyProtection="1">
      <protection locked="0"/>
    </xf>
    <xf numFmtId="167" fontId="5" fillId="0" borderId="1" xfId="4" applyNumberFormat="1" applyFont="1" applyFill="1" applyBorder="1" applyProtection="1">
      <protection locked="0"/>
    </xf>
    <xf numFmtId="0" fontId="5" fillId="9" borderId="1" xfId="4" applyFont="1" applyFill="1" applyBorder="1" applyProtection="1">
      <protection locked="0"/>
    </xf>
    <xf numFmtId="167" fontId="5" fillId="9" borderId="1" xfId="4" applyNumberFormat="1" applyFont="1" applyFill="1" applyBorder="1" applyProtection="1">
      <protection locked="0"/>
    </xf>
    <xf numFmtId="0" fontId="5" fillId="9" borderId="18" xfId="4" applyFont="1" applyFill="1" applyBorder="1" applyProtection="1">
      <protection locked="0"/>
    </xf>
    <xf numFmtId="0" fontId="23" fillId="9" borderId="0" xfId="4" applyFont="1" applyFill="1" applyBorder="1" applyProtection="1">
      <protection locked="0"/>
    </xf>
    <xf numFmtId="0" fontId="5" fillId="0" borderId="44" xfId="4" applyNumberFormat="1" applyFont="1" applyFill="1" applyBorder="1" applyAlignment="1" applyProtection="1">
      <protection locked="0"/>
    </xf>
    <xf numFmtId="0" fontId="4" fillId="0" borderId="0" xfId="4" applyNumberFormat="1" applyFont="1" applyFill="1" applyBorder="1" applyAlignment="1" applyProtection="1">
      <protection locked="0"/>
    </xf>
    <xf numFmtId="164" fontId="5" fillId="0" borderId="0" xfId="3" applyNumberFormat="1" applyFont="1" applyFill="1" applyBorder="1" applyAlignment="1" applyProtection="1">
      <alignment horizontal="left"/>
      <protection locked="0"/>
    </xf>
    <xf numFmtId="0" fontId="4" fillId="8" borderId="44" xfId="4" applyFont="1" applyFill="1" applyBorder="1" applyProtection="1">
      <protection locked="0"/>
    </xf>
    <xf numFmtId="0" fontId="4" fillId="8" borderId="0" xfId="4" applyFont="1" applyFill="1" applyBorder="1" applyProtection="1">
      <protection locked="0"/>
    </xf>
    <xf numFmtId="167" fontId="4" fillId="8" borderId="0" xfId="4" applyNumberFormat="1" applyFont="1" applyFill="1" applyBorder="1" applyProtection="1">
      <protection locked="0"/>
    </xf>
    <xf numFmtId="167" fontId="4" fillId="8" borderId="45" xfId="4" applyNumberFormat="1" applyFont="1" applyFill="1" applyBorder="1" applyProtection="1">
      <protection locked="0"/>
    </xf>
    <xf numFmtId="198" fontId="4" fillId="9" borderId="0" xfId="4" applyNumberFormat="1" applyFont="1" applyFill="1" applyBorder="1" applyProtection="1">
      <protection locked="0"/>
    </xf>
    <xf numFmtId="0" fontId="3" fillId="0" borderId="44" xfId="4" applyFont="1" applyBorder="1" applyProtection="1">
      <protection locked="0"/>
    </xf>
    <xf numFmtId="196" fontId="3" fillId="0" borderId="0" xfId="3" applyNumberFormat="1" applyFont="1" applyBorder="1" applyProtection="1">
      <protection locked="0"/>
    </xf>
    <xf numFmtId="196" fontId="3" fillId="0" borderId="0" xfId="3" applyNumberFormat="1" applyFont="1" applyFill="1" applyBorder="1" applyProtection="1">
      <protection locked="0"/>
    </xf>
    <xf numFmtId="196" fontId="3" fillId="0" borderId="45" xfId="3" applyNumberFormat="1" applyFont="1" applyFill="1" applyBorder="1" applyProtection="1">
      <protection locked="0"/>
    </xf>
    <xf numFmtId="9" fontId="3" fillId="0" borderId="0" xfId="3" applyFont="1" applyBorder="1" applyProtection="1">
      <protection locked="0"/>
    </xf>
    <xf numFmtId="9" fontId="3" fillId="0" borderId="0" xfId="3" applyFont="1" applyFill="1" applyBorder="1" applyProtection="1">
      <protection locked="0"/>
    </xf>
    <xf numFmtId="9" fontId="3" fillId="0" borderId="45" xfId="3" applyFont="1" applyFill="1" applyBorder="1" applyProtection="1">
      <protection locked="0"/>
    </xf>
    <xf numFmtId="0" fontId="4" fillId="8" borderId="54" xfId="4" applyFont="1" applyFill="1" applyBorder="1" applyProtection="1">
      <protection locked="0"/>
    </xf>
    <xf numFmtId="167" fontId="4" fillId="8" borderId="1" xfId="4" applyNumberFormat="1" applyFont="1" applyFill="1" applyBorder="1" applyProtection="1">
      <protection locked="0"/>
    </xf>
    <xf numFmtId="167" fontId="4" fillId="8" borderId="55" xfId="4" applyNumberFormat="1" applyFont="1" applyFill="1" applyBorder="1" applyProtection="1">
      <protection locked="0"/>
    </xf>
    <xf numFmtId="0" fontId="49" fillId="9" borderId="44" xfId="4" applyFont="1" applyFill="1" applyBorder="1" applyProtection="1">
      <protection locked="0"/>
    </xf>
    <xf numFmtId="0" fontId="3" fillId="2" borderId="44" xfId="4" applyFont="1" applyFill="1" applyBorder="1" applyProtection="1">
      <protection locked="0"/>
    </xf>
    <xf numFmtId="201" fontId="3" fillId="2" borderId="0" xfId="4" applyNumberFormat="1" applyFont="1" applyFill="1" applyBorder="1" applyProtection="1">
      <protection locked="0"/>
    </xf>
    <xf numFmtId="200" fontId="3" fillId="2" borderId="0" xfId="4" applyNumberFormat="1" applyFont="1" applyFill="1" applyBorder="1" applyProtection="1">
      <protection locked="0"/>
    </xf>
    <xf numFmtId="200" fontId="3" fillId="2" borderId="0" xfId="4" applyNumberFormat="1" applyFont="1" applyFill="1" applyBorder="1" applyAlignment="1" applyProtection="1">
      <alignment horizontal="right"/>
      <protection locked="0"/>
    </xf>
    <xf numFmtId="200" fontId="3" fillId="2" borderId="45" xfId="4" applyNumberFormat="1" applyFont="1" applyFill="1" applyBorder="1" applyAlignment="1" applyProtection="1">
      <alignment horizontal="right"/>
      <protection locked="0"/>
    </xf>
    <xf numFmtId="0" fontId="4" fillId="0" borderId="44" xfId="4" applyFont="1" applyFill="1" applyBorder="1" applyProtection="1">
      <protection locked="0"/>
    </xf>
    <xf numFmtId="167" fontId="4" fillId="0" borderId="45" xfId="4" applyNumberFormat="1" applyFont="1" applyFill="1" applyBorder="1" applyProtection="1">
      <protection locked="0"/>
    </xf>
    <xf numFmtId="0" fontId="14" fillId="9" borderId="44" xfId="4" applyFont="1" applyFill="1" applyBorder="1" applyProtection="1">
      <protection locked="0"/>
    </xf>
    <xf numFmtId="167" fontId="5" fillId="0" borderId="44" xfId="4" applyNumberFormat="1" applyFont="1" applyFill="1" applyBorder="1" applyProtection="1">
      <protection locked="0"/>
    </xf>
    <xf numFmtId="0" fontId="4" fillId="2" borderId="70" xfId="4" applyFont="1" applyFill="1" applyBorder="1" applyProtection="1">
      <protection locked="0"/>
    </xf>
    <xf numFmtId="175" fontId="4" fillId="2" borderId="65" xfId="4" applyNumberFormat="1" applyFont="1" applyFill="1" applyBorder="1" applyProtection="1">
      <protection locked="0"/>
    </xf>
    <xf numFmtId="167" fontId="4" fillId="2" borderId="65" xfId="4" applyNumberFormat="1" applyFont="1" applyFill="1" applyBorder="1" applyProtection="1">
      <protection locked="0"/>
    </xf>
    <xf numFmtId="167" fontId="4" fillId="2" borderId="71" xfId="4" applyNumberFormat="1" applyFont="1" applyFill="1" applyBorder="1" applyProtection="1">
      <protection locked="0"/>
    </xf>
    <xf numFmtId="0" fontId="4" fillId="9" borderId="0" xfId="4" applyFont="1" applyFill="1" applyBorder="1" applyProtection="1">
      <protection locked="0"/>
    </xf>
    <xf numFmtId="0" fontId="48" fillId="9" borderId="0" xfId="4" applyFont="1" applyFill="1" applyBorder="1" applyProtection="1">
      <protection locked="0"/>
    </xf>
    <xf numFmtId="0" fontId="47" fillId="9" borderId="0" xfId="4" applyFont="1" applyFill="1" applyProtection="1">
      <protection locked="0"/>
    </xf>
    <xf numFmtId="164" fontId="47" fillId="9" borderId="0" xfId="4" applyNumberFormat="1" applyFont="1" applyFill="1" applyProtection="1">
      <protection locked="0"/>
    </xf>
    <xf numFmtId="0" fontId="4" fillId="0" borderId="67" xfId="4" applyNumberFormat="1" applyFont="1" applyFill="1" applyBorder="1" applyAlignment="1" applyProtection="1">
      <protection locked="0"/>
    </xf>
    <xf numFmtId="164" fontId="5" fillId="9" borderId="0" xfId="4" applyNumberFormat="1" applyFont="1" applyFill="1" applyBorder="1" applyProtection="1">
      <protection locked="0"/>
    </xf>
    <xf numFmtId="175" fontId="5" fillId="9" borderId="45" xfId="4" applyNumberFormat="1" applyFont="1" applyFill="1" applyBorder="1" applyProtection="1">
      <protection locked="0"/>
    </xf>
    <xf numFmtId="0" fontId="5" fillId="9" borderId="68" xfId="4" applyFont="1" applyFill="1" applyBorder="1" applyProtection="1">
      <protection locked="0"/>
    </xf>
    <xf numFmtId="167" fontId="5" fillId="9" borderId="11" xfId="4" applyNumberFormat="1" applyFont="1" applyFill="1" applyBorder="1" applyProtection="1">
      <protection locked="0"/>
    </xf>
    <xf numFmtId="164" fontId="5" fillId="9" borderId="11" xfId="4" applyNumberFormat="1" applyFont="1" applyFill="1" applyBorder="1" applyProtection="1">
      <protection locked="0"/>
    </xf>
    <xf numFmtId="0" fontId="3" fillId="9" borderId="44" xfId="4" applyFont="1" applyFill="1" applyBorder="1" applyProtection="1">
      <protection locked="0"/>
    </xf>
    <xf numFmtId="175" fontId="5" fillId="9" borderId="0" xfId="4" applyNumberFormat="1" applyFont="1" applyFill="1" applyBorder="1" applyProtection="1">
      <protection locked="0"/>
    </xf>
    <xf numFmtId="167" fontId="5" fillId="9" borderId="44" xfId="4" applyNumberFormat="1" applyFont="1" applyFill="1" applyBorder="1" applyProtection="1">
      <protection locked="0"/>
    </xf>
    <xf numFmtId="0" fontId="5" fillId="9" borderId="11" xfId="4" applyFont="1" applyFill="1" applyBorder="1" applyProtection="1">
      <protection locked="0"/>
    </xf>
    <xf numFmtId="175" fontId="5" fillId="9" borderId="69" xfId="4" applyNumberFormat="1" applyFont="1" applyFill="1" applyBorder="1" applyProtection="1">
      <protection locked="0"/>
    </xf>
    <xf numFmtId="0" fontId="3" fillId="9" borderId="0" xfId="4" applyFont="1" applyFill="1" applyBorder="1" applyProtection="1">
      <protection locked="0"/>
    </xf>
    <xf numFmtId="167" fontId="3" fillId="9" borderId="0" xfId="4" applyNumberFormat="1" applyFont="1" applyFill="1" applyBorder="1" applyProtection="1">
      <protection locked="0"/>
    </xf>
    <xf numFmtId="175" fontId="5" fillId="9" borderId="60" xfId="4" applyNumberFormat="1" applyFont="1" applyFill="1" applyBorder="1" applyProtection="1">
      <protection locked="0"/>
    </xf>
    <xf numFmtId="9" fontId="5" fillId="9" borderId="0" xfId="4" applyNumberFormat="1" applyFont="1" applyFill="1" applyBorder="1" applyProtection="1">
      <protection locked="0"/>
    </xf>
    <xf numFmtId="191" fontId="5" fillId="0" borderId="45" xfId="4" applyNumberFormat="1" applyFont="1" applyFill="1" applyBorder="1" applyProtection="1">
      <protection locked="0"/>
    </xf>
    <xf numFmtId="9" fontId="4" fillId="2" borderId="1" xfId="4" applyNumberFormat="1" applyFont="1" applyFill="1" applyBorder="1" applyProtection="1">
      <protection locked="0"/>
    </xf>
    <xf numFmtId="9" fontId="4" fillId="2" borderId="55" xfId="4" applyNumberFormat="1" applyFont="1" applyFill="1" applyBorder="1" applyProtection="1">
      <protection locked="0"/>
    </xf>
    <xf numFmtId="198" fontId="5" fillId="0" borderId="0" xfId="4" applyNumberFormat="1" applyFont="1" applyFill="1" applyBorder="1" applyProtection="1">
      <protection locked="0"/>
    </xf>
    <xf numFmtId="0" fontId="5" fillId="0" borderId="0" xfId="4" applyNumberFormat="1" applyFont="1" applyFill="1" applyBorder="1" applyAlignment="1" applyProtection="1">
      <alignment horizontal="left"/>
      <protection locked="0"/>
    </xf>
    <xf numFmtId="0" fontId="4" fillId="0" borderId="0" xfId="4" applyNumberFormat="1" applyFont="1" applyFill="1" applyBorder="1" applyAlignment="1" applyProtection="1">
      <alignment horizontal="right"/>
      <protection locked="0"/>
    </xf>
    <xf numFmtId="164" fontId="5" fillId="0" borderId="0" xfId="3" applyNumberFormat="1" applyFont="1" applyFill="1" applyBorder="1" applyAlignment="1" applyProtection="1">
      <protection locked="0"/>
    </xf>
    <xf numFmtId="199" fontId="4" fillId="0" borderId="0" xfId="4" applyNumberFormat="1" applyFont="1" applyFill="1" applyBorder="1" applyAlignment="1" applyProtection="1">
      <protection locked="0"/>
    </xf>
    <xf numFmtId="0" fontId="5" fillId="0" borderId="0" xfId="4" applyNumberFormat="1" applyFont="1" applyFill="1" applyBorder="1" applyAlignment="1" applyProtection="1">
      <protection locked="0"/>
    </xf>
    <xf numFmtId="0" fontId="5" fillId="0" borderId="59" xfId="4" applyNumberFormat="1" applyFont="1" applyFill="1" applyBorder="1" applyAlignment="1" applyProtection="1">
      <protection locked="0"/>
    </xf>
    <xf numFmtId="0" fontId="5" fillId="0" borderId="8" xfId="4" applyNumberFormat="1" applyFont="1" applyFill="1" applyBorder="1" applyAlignment="1" applyProtection="1">
      <alignment horizontal="right"/>
      <protection locked="0"/>
    </xf>
    <xf numFmtId="0" fontId="4" fillId="0" borderId="8" xfId="4" applyNumberFormat="1" applyFont="1" applyFill="1" applyBorder="1" applyAlignment="1" applyProtection="1">
      <alignment horizontal="right"/>
      <protection locked="0"/>
    </xf>
    <xf numFmtId="167" fontId="5" fillId="0" borderId="8" xfId="4" applyNumberFormat="1" applyFont="1" applyFill="1" applyBorder="1" applyAlignment="1" applyProtection="1">
      <protection locked="0"/>
    </xf>
    <xf numFmtId="0" fontId="4" fillId="0" borderId="8" xfId="4" applyNumberFormat="1" applyFont="1" applyFill="1" applyBorder="1" applyAlignment="1" applyProtection="1">
      <protection locked="0"/>
    </xf>
    <xf numFmtId="199" fontId="4" fillId="0" borderId="8" xfId="4" applyNumberFormat="1" applyFont="1" applyFill="1" applyBorder="1" applyAlignment="1" applyProtection="1">
      <protection locked="0"/>
    </xf>
    <xf numFmtId="167" fontId="5" fillId="9" borderId="8" xfId="4" applyNumberFormat="1" applyFont="1" applyFill="1" applyBorder="1" applyProtection="1">
      <protection locked="0"/>
    </xf>
    <xf numFmtId="167" fontId="5" fillId="9" borderId="60" xfId="4" applyNumberFormat="1" applyFont="1" applyFill="1" applyBorder="1" applyProtection="1">
      <protection locked="0"/>
    </xf>
    <xf numFmtId="8" fontId="5" fillId="9" borderId="23" xfId="4" applyNumberFormat="1" applyFont="1" applyFill="1" applyBorder="1" applyAlignment="1" applyProtection="1">
      <alignment horizontal="center" vertical="center"/>
      <protection locked="0"/>
    </xf>
    <xf numFmtId="8" fontId="5" fillId="9" borderId="30" xfId="4" applyNumberFormat="1" applyFont="1" applyFill="1" applyBorder="1" applyAlignment="1" applyProtection="1">
      <alignment horizontal="center" vertical="center"/>
      <protection locked="0"/>
    </xf>
    <xf numFmtId="9" fontId="5" fillId="9" borderId="25" xfId="3" applyFont="1" applyFill="1" applyBorder="1" applyAlignment="1" applyProtection="1">
      <alignment horizontal="center" vertical="center"/>
      <protection locked="0"/>
    </xf>
    <xf numFmtId="0" fontId="5" fillId="9" borderId="0" xfId="4" applyFont="1" applyFill="1" applyBorder="1" applyAlignment="1" applyProtection="1">
      <alignment horizontal="center" vertical="center"/>
      <protection locked="0"/>
    </xf>
    <xf numFmtId="10" fontId="4" fillId="2" borderId="1" xfId="4" applyNumberFormat="1" applyFont="1" applyFill="1" applyBorder="1" applyAlignment="1" applyProtection="1">
      <alignment horizontal="left"/>
      <protection locked="0"/>
    </xf>
    <xf numFmtId="0" fontId="4" fillId="2" borderId="1" xfId="4" applyFont="1" applyFill="1" applyBorder="1" applyAlignment="1" applyProtection="1">
      <alignment horizontal="right"/>
      <protection locked="0"/>
    </xf>
    <xf numFmtId="10" fontId="4" fillId="2" borderId="22" xfId="4" applyNumberFormat="1" applyFont="1" applyFill="1" applyBorder="1" applyAlignment="1" applyProtection="1">
      <alignment horizontal="center" vertical="center"/>
      <protection locked="0"/>
    </xf>
    <xf numFmtId="0" fontId="4" fillId="0" borderId="0" xfId="4" applyFont="1" applyFill="1" applyBorder="1" applyAlignment="1" applyProtection="1">
      <alignment horizontal="right"/>
      <protection locked="0"/>
    </xf>
    <xf numFmtId="10" fontId="4" fillId="0" borderId="0" xfId="4" applyNumberFormat="1" applyFont="1" applyFill="1" applyBorder="1" applyAlignment="1" applyProtection="1">
      <alignment horizontal="left"/>
      <protection locked="0"/>
    </xf>
    <xf numFmtId="0" fontId="0" fillId="0" borderId="0" xfId="0" applyFill="1" applyProtection="1">
      <protection locked="0"/>
    </xf>
    <xf numFmtId="0" fontId="3" fillId="0" borderId="0" xfId="4" applyFont="1" applyFill="1" applyBorder="1" applyProtection="1">
      <protection locked="0"/>
    </xf>
    <xf numFmtId="200" fontId="5" fillId="0" borderId="0" xfId="4" applyNumberFormat="1" applyFont="1" applyFill="1" applyBorder="1" applyProtection="1">
      <protection locked="0"/>
    </xf>
    <xf numFmtId="200" fontId="5" fillId="0" borderId="0" xfId="4" applyNumberFormat="1" applyFont="1" applyFill="1" applyBorder="1" applyAlignment="1" applyProtection="1">
      <alignment horizontal="right"/>
      <protection locked="0"/>
    </xf>
    <xf numFmtId="200" fontId="5" fillId="0" borderId="45" xfId="4" applyNumberFormat="1" applyFont="1" applyFill="1" applyBorder="1" applyAlignment="1" applyProtection="1">
      <alignment horizontal="right"/>
      <protection locked="0"/>
    </xf>
    <xf numFmtId="0" fontId="5" fillId="0" borderId="82" xfId="4" applyFont="1" applyFill="1" applyBorder="1" applyProtection="1">
      <protection locked="0"/>
    </xf>
    <xf numFmtId="0" fontId="4" fillId="0" borderId="83" xfId="4" applyFont="1" applyFill="1" applyBorder="1" applyProtection="1">
      <protection locked="0"/>
    </xf>
    <xf numFmtId="0" fontId="3" fillId="0" borderId="83" xfId="4" applyFont="1" applyFill="1" applyBorder="1" applyProtection="1">
      <protection locked="0"/>
    </xf>
    <xf numFmtId="167" fontId="4" fillId="0" borderId="83" xfId="4" applyNumberFormat="1" applyFont="1" applyFill="1" applyBorder="1" applyProtection="1">
      <protection locked="0"/>
    </xf>
    <xf numFmtId="200" fontId="5" fillId="0" borderId="83" xfId="4" applyNumberFormat="1" applyFont="1" applyFill="1" applyBorder="1" applyAlignment="1" applyProtection="1">
      <alignment horizontal="right"/>
      <protection locked="0"/>
    </xf>
    <xf numFmtId="200" fontId="5" fillId="0" borderId="84" xfId="4" applyNumberFormat="1" applyFont="1" applyFill="1" applyBorder="1" applyAlignment="1" applyProtection="1">
      <alignment horizontal="right"/>
      <protection locked="0"/>
    </xf>
    <xf numFmtId="0" fontId="2" fillId="0" borderId="1" xfId="4" applyBorder="1" applyProtection="1">
      <protection locked="0"/>
    </xf>
    <xf numFmtId="0" fontId="2" fillId="7" borderId="0" xfId="4" applyFill="1" applyProtection="1">
      <protection locked="0"/>
    </xf>
    <xf numFmtId="0" fontId="2" fillId="9" borderId="0" xfId="4" applyFill="1" applyProtection="1">
      <protection locked="0"/>
    </xf>
    <xf numFmtId="0" fontId="2" fillId="9" borderId="0" xfId="4" applyFill="1" applyBorder="1" applyProtection="1">
      <protection locked="0"/>
    </xf>
    <xf numFmtId="0" fontId="21" fillId="7" borderId="18" xfId="4" applyFont="1" applyFill="1" applyBorder="1" applyProtection="1">
      <protection locked="0"/>
    </xf>
    <xf numFmtId="0" fontId="2" fillId="7" borderId="18" xfId="4" applyFont="1" applyFill="1" applyBorder="1" applyProtection="1">
      <protection locked="0"/>
    </xf>
    <xf numFmtId="176" fontId="21" fillId="7" borderId="0" xfId="4" applyNumberFormat="1" applyFont="1" applyFill="1" applyBorder="1" applyAlignment="1" applyProtection="1">
      <alignment horizontal="center"/>
      <protection locked="0"/>
    </xf>
    <xf numFmtId="0" fontId="2" fillId="7" borderId="0" xfId="4" applyFont="1" applyFill="1" applyBorder="1" applyProtection="1">
      <protection locked="0"/>
    </xf>
    <xf numFmtId="167" fontId="5" fillId="0" borderId="87" xfId="4" applyNumberFormat="1" applyFont="1" applyBorder="1" applyProtection="1">
      <protection locked="0"/>
    </xf>
    <xf numFmtId="0" fontId="22" fillId="0" borderId="0" xfId="4" applyFont="1" applyFill="1" applyBorder="1" applyProtection="1">
      <protection locked="0"/>
    </xf>
  </cellXfs>
  <cellStyles count="31">
    <cellStyle name="Border Thin" xfId="12" xr:uid="{084613F7-CFD7-4B82-B447-E23B5D3FC5BE}"/>
    <cellStyle name="Border Thin 2" xfId="14" xr:uid="{3FE15FA4-5353-4AD7-A77A-7ADAED5C4CD0}"/>
    <cellStyle name="Comma" xfId="1" builtinId="3"/>
    <cellStyle name="Comma 2" xfId="16" xr:uid="{62850E63-47C0-4B1F-8ABD-259BD7786F55}"/>
    <cellStyle name="Comma 2 2" xfId="24" xr:uid="{48DFDBD5-7CAA-4C70-95D5-7668B917F4F5}"/>
    <cellStyle name="Comma 3" xfId="27" xr:uid="{8F32FD56-6FE2-4F19-87FD-80D4DD1CA323}"/>
    <cellStyle name="Comma 4" xfId="19" xr:uid="{58000617-58E5-4E3C-9CF3-9163CAA9335C}"/>
    <cellStyle name="Currency" xfId="2" builtinId="4"/>
    <cellStyle name="Currency 2" xfId="13" xr:uid="{D92E7428-D4DC-4185-8ED1-D82CB9D66086}"/>
    <cellStyle name="Currency 2 2" xfId="25" xr:uid="{EC7EB752-F2BD-4B27-AE1D-06138198C266}"/>
    <cellStyle name="Currency 4 2" xfId="22" xr:uid="{8F4DA52C-8221-4BBF-8D27-3EA454A414DD}"/>
    <cellStyle name="Hyperlink 2" xfId="26" xr:uid="{6E24F472-6574-4026-A679-F76FB7323E27}"/>
    <cellStyle name="Input 2" xfId="6" xr:uid="{F815D0F3-8AF6-4654-B7D5-F02095DDD115}"/>
    <cellStyle name="Normal" xfId="0" builtinId="0"/>
    <cellStyle name="Normal 10" xfId="4" xr:uid="{8D11EA55-7E9E-44FF-8DAF-523DF7868D47}"/>
    <cellStyle name="Normal 10 2" xfId="20" xr:uid="{F6857912-7649-4CA6-A00E-38D1B477A189}"/>
    <cellStyle name="Normal 11" xfId="23" xr:uid="{DFB35239-02F4-4A3A-B582-35C3FEB0366D}"/>
    <cellStyle name="Normal 19" xfId="28" xr:uid="{B9F01DC2-0067-40DB-92C4-F864EC2EC21F}"/>
    <cellStyle name="Normal 2" xfId="21" xr:uid="{F2DFCB26-3ED7-4794-8BAB-22C94415C70D}"/>
    <cellStyle name="Normal 3 3 2" xfId="17" xr:uid="{576DC3F9-AA3F-45B0-BB15-44815901C986}"/>
    <cellStyle name="Normal 4" xfId="30" xr:uid="{415247E9-F65A-4625-BAC3-D37369F215BD}"/>
    <cellStyle name="Normal 9" xfId="29" xr:uid="{4C725AED-3B45-479D-92FF-D3AC100553F2}"/>
    <cellStyle name="Normal_Ahold3-backup" xfId="8" xr:uid="{115CD8E2-E33B-4577-8209-3CE825C32F02}"/>
    <cellStyle name="Normal_BasicFCFModel" xfId="9" xr:uid="{B8534812-45D6-409D-8A71-4799212F8C9C}"/>
    <cellStyle name="Normal_Copy of GAPValuationModelFullForecast2008" xfId="7" xr:uid="{8C842E02-4A59-4E01-B8C1-7ACAAD09EB60}"/>
    <cellStyle name="Normal_Sheet" xfId="5" xr:uid="{7568AEFB-4940-4355-9251-C0C9C18F9547}"/>
    <cellStyle name="Normal_Sheet2" xfId="11" xr:uid="{3096F5BB-55FE-42D3-80D0-D355B9AF5B76}"/>
    <cellStyle name="Percent" xfId="3" builtinId="5"/>
    <cellStyle name="Percent 2" xfId="10" xr:uid="{4616090F-A402-42B7-9635-81959EE3662C}"/>
    <cellStyle name="Percent 2 2" xfId="18" xr:uid="{9E2A0FE6-E4BB-44D6-BC9A-D64CB3AC1F88}"/>
    <cellStyle name="Table Sub Head" xfId="15" xr:uid="{52FEC33A-9D81-467C-B275-6B876474762F}"/>
  </cellStyles>
  <dxfs count="76">
    <dxf>
      <font>
        <b/>
        <i val="0"/>
        <color theme="0"/>
      </font>
      <fill>
        <patternFill>
          <bgColor rgb="FFFF0000"/>
        </patternFill>
      </fill>
    </dxf>
    <dxf>
      <font>
        <b/>
        <i val="0"/>
        <color theme="0"/>
      </font>
      <fill>
        <patternFill>
          <bgColor rgb="FFFF0000"/>
        </patternFill>
      </fill>
    </dxf>
    <dxf>
      <font>
        <b/>
        <i val="0"/>
        <condense val="0"/>
        <extend val="0"/>
        <color indexed="12"/>
      </font>
      <border>
        <top style="thin">
          <color indexed="64"/>
        </top>
      </border>
    </dxf>
    <dxf>
      <font>
        <b/>
        <i val="0"/>
        <condense val="0"/>
        <extend val="0"/>
        <color indexed="12"/>
      </font>
      <border>
        <top style="thin">
          <color indexed="64"/>
        </top>
      </border>
    </dxf>
    <dxf>
      <font>
        <b/>
        <i val="0"/>
        <condense val="0"/>
        <extend val="0"/>
        <color indexed="12"/>
      </font>
      <border>
        <top style="thin">
          <color indexed="64"/>
        </top>
      </border>
    </dxf>
    <dxf>
      <font>
        <b/>
        <i val="0"/>
        <condense val="0"/>
        <extend val="0"/>
        <color indexed="12"/>
      </font>
      <border>
        <top style="thin">
          <color indexed="64"/>
        </top>
      </border>
    </dxf>
    <dxf>
      <font>
        <b/>
        <i val="0"/>
        <condense val="0"/>
        <extend val="0"/>
        <color indexed="12"/>
      </font>
      <border>
        <top style="thin">
          <color indexed="64"/>
        </top>
      </border>
    </dxf>
    <dxf>
      <font>
        <b/>
        <i val="0"/>
        <condense val="0"/>
        <extend val="0"/>
        <color indexed="12"/>
      </font>
      <border>
        <top style="thin">
          <color indexed="64"/>
        </top>
      </border>
    </dxf>
    <dxf>
      <font>
        <b/>
        <i val="0"/>
        <condense val="0"/>
        <extend val="0"/>
        <color indexed="12"/>
      </font>
      <border>
        <top style="thin">
          <color indexed="64"/>
        </top>
      </border>
    </dxf>
    <dxf>
      <font>
        <b/>
        <i val="0"/>
        <condense val="0"/>
        <extend val="0"/>
        <color indexed="12"/>
      </font>
      <border>
        <top style="thin">
          <color indexed="64"/>
        </top>
      </border>
    </dxf>
    <dxf>
      <font>
        <b/>
        <i val="0"/>
        <condense val="0"/>
        <extend val="0"/>
        <color indexed="12"/>
      </font>
      <border>
        <top style="thin">
          <color indexed="64"/>
        </top>
      </border>
    </dxf>
    <dxf>
      <font>
        <b/>
        <i val="0"/>
        <condense val="0"/>
        <extend val="0"/>
        <color indexed="12"/>
      </font>
      <border>
        <top style="thin">
          <color indexed="64"/>
        </top>
      </border>
    </dxf>
    <dxf>
      <font>
        <b/>
        <i val="0"/>
        <condense val="0"/>
        <extend val="0"/>
        <color indexed="12"/>
      </font>
      <border>
        <top style="thin">
          <color indexed="64"/>
        </top>
      </border>
    </dxf>
    <dxf>
      <font>
        <b/>
        <i val="0"/>
        <condense val="0"/>
        <extend val="0"/>
        <color indexed="12"/>
      </font>
      <border>
        <top style="thin">
          <color indexed="64"/>
        </top>
      </border>
    </dxf>
    <dxf>
      <font>
        <b/>
        <i val="0"/>
        <condense val="0"/>
        <extend val="0"/>
        <color indexed="12"/>
      </font>
      <border>
        <top style="thin">
          <color indexed="64"/>
        </top>
      </border>
    </dxf>
    <dxf>
      <font>
        <b/>
        <i val="0"/>
        <condense val="0"/>
        <extend val="0"/>
        <color indexed="12"/>
      </font>
      <border>
        <top style="thin">
          <color indexed="64"/>
        </top>
      </border>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ndense val="0"/>
        <extend val="0"/>
        <color indexed="12"/>
      </font>
      <border>
        <top style="thin">
          <color indexed="64"/>
        </top>
      </border>
    </dxf>
    <dxf>
      <font>
        <b/>
        <i val="0"/>
        <condense val="0"/>
        <extend val="0"/>
        <color indexed="12"/>
      </font>
      <border>
        <top style="thin">
          <color indexed="64"/>
        </top>
      </border>
    </dxf>
    <dxf>
      <font>
        <b/>
        <i val="0"/>
        <condense val="0"/>
        <extend val="0"/>
        <color indexed="12"/>
      </font>
      <border>
        <top style="thin">
          <color indexed="64"/>
        </top>
      </border>
    </dxf>
    <dxf>
      <font>
        <b/>
        <i val="0"/>
        <condense val="0"/>
        <extend val="0"/>
        <color indexed="12"/>
      </font>
      <border>
        <top style="thin">
          <color indexed="64"/>
        </top>
      </border>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ndense val="0"/>
        <extend val="0"/>
        <color indexed="12"/>
      </font>
      <border>
        <top style="thin">
          <color indexed="64"/>
        </top>
      </border>
    </dxf>
    <dxf>
      <font>
        <b/>
        <i val="0"/>
        <condense val="0"/>
        <extend val="0"/>
        <color indexed="9"/>
      </font>
      <fill>
        <patternFill>
          <bgColor indexed="10"/>
        </patternFill>
      </fill>
    </dxf>
    <dxf>
      <font>
        <b/>
        <i val="0"/>
        <condense val="0"/>
        <extend val="0"/>
        <color indexed="12"/>
      </font>
      <border>
        <top style="thin">
          <color indexed="64"/>
        </top>
      </border>
    </dxf>
    <dxf>
      <font>
        <condense val="0"/>
        <extend val="0"/>
        <color indexed="12"/>
      </font>
    </dxf>
    <dxf>
      <font>
        <b/>
        <i val="0"/>
        <color theme="0"/>
      </font>
      <fill>
        <patternFill>
          <bgColor rgb="FFFF0000"/>
        </patternFill>
      </fill>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b/>
        <i val="0"/>
        <color theme="0"/>
      </font>
      <fill>
        <patternFill>
          <bgColor rgb="FFFF0000"/>
        </patternFill>
      </fill>
    </dxf>
    <dxf>
      <font>
        <condense val="0"/>
        <extend val="0"/>
        <color indexed="12"/>
      </font>
    </dxf>
    <dxf>
      <font>
        <b/>
        <i val="0"/>
        <condense val="0"/>
        <extend val="0"/>
        <color indexed="12"/>
      </font>
      <border>
        <top style="thin">
          <color indexed="64"/>
        </top>
      </border>
    </dxf>
    <dxf>
      <font>
        <b/>
        <i val="0"/>
        <color theme="0"/>
      </font>
      <fill>
        <patternFill>
          <bgColor rgb="FFFF0000"/>
        </patternFill>
      </fill>
    </dxf>
    <dxf>
      <font>
        <b/>
        <i val="0"/>
        <color theme="0"/>
      </font>
      <fill>
        <patternFill>
          <bgColor rgb="FFFF0000"/>
        </patternFill>
      </fill>
    </dxf>
    <dxf>
      <font>
        <b/>
        <i val="0"/>
        <condense val="0"/>
        <extend val="0"/>
        <color indexed="9"/>
      </font>
      <fill>
        <patternFill>
          <bgColor indexed="10"/>
        </patternFill>
      </fill>
    </dxf>
    <dxf>
      <font>
        <condense val="0"/>
        <extend val="0"/>
        <color indexed="12"/>
      </font>
    </dxf>
  </dxfs>
  <tableStyles count="0" defaultTableStyle="TableStyleMedium2" defaultPivotStyle="PivotStyleLight16"/>
  <colors>
    <mruColors>
      <color rgb="FF0000FF"/>
      <color rgb="FF86654A"/>
      <color rgb="FF452727"/>
      <color rgb="FF736985"/>
      <color rgb="FF887F99"/>
      <color rgb="FF5C7673"/>
      <color rgb="FF477977"/>
      <color rgb="FF006666"/>
      <color rgb="FF617695"/>
      <color rgb="FF4E6A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KFIOYA\AppData\Local\Microsoft\Windows\Temporary%20Internet%20Files\Content.Outlook\VPKHRR0B\NIBC%202014%20-%20Lions%20Gate%20DCF%20v19%20-%2011%20Oct%20201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E\Users\HP\AppData\Local\Temp\NIBC%202013%20-%20Wynn%20DCF%20Solution%20-%2030%20Sep%202012%20-%20v3.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ZKFIOYA/AppData/Local/Microsoft/Windows/Temporary%20Internet%20Files/Content.Outlook/VPKHRR0B/NIBC%202014%20-%20Lions%20Gate%20DCF%20v19%20-%2011%20Oct%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Karsten\AppData\Local\Microsoft\Windows\INetCache\Content.Outlook\1L3OERPN\Current%20NIBC\NIBC%202015%20-%20Comps%20PPT%20Output%20-%2007%20Sep%2020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Karsten/AppData/Local/Microsoft/Windows/INetCache/Content.Outlook/1L3OERPN/Current%20NIBC/NIBC%202015%20-%20Comps%20PPT%20Output%20-%2007%20Sep%202014.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lam6\AppData\Local\Temp\tmp006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Users/dlam6/AppData/Local/Temp/tmp006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E\Users\pchua1\AppData\Roaming\Microsoft\Excel\NIBC%202013%20-%20Wynn%20-%20LBO%20Build%20-%2011%20Nov%202012%20-%20015am%20(PC%20Edit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d.docs.live.net/E/Users/pchua1/AppData/Roaming/Microsoft/Excel/NIBC%202013%20-%20Wynn%20-%20LBO%20Build%20-%2011%20Nov%202012%20-%20015am%20(PC%20Edi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GF Assumptions"/>
      <sheetName val="LGF Financial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BO Assumptions"/>
      <sheetName val="Wynn Assumptions"/>
      <sheetName val="Wynn Financials"/>
      <sheetName val="DCF Solution"/>
      <sheetName val="&gt;&gt;&gt; Original Data"/>
      <sheetName val="Cashflow Statement"/>
      <sheetName val="Income Statement"/>
      <sheetName val="Balance Sheet"/>
    </sheetNames>
    <sheetDataSet>
      <sheetData sheetId="0" refreshError="1"/>
      <sheetData sheetId="1">
        <row r="68">
          <cell r="B68" t="str">
            <v>Tax Rate</v>
          </cell>
          <cell r="C68" t="str">
            <v>[%]</v>
          </cell>
          <cell r="D68" t="str">
            <v>[calc], [input]</v>
          </cell>
          <cell r="F68">
            <v>0.15422358348733722</v>
          </cell>
          <cell r="G68">
            <v>-0.41338857626344699</v>
          </cell>
          <cell r="H68">
            <v>7.1225003562437661E-2</v>
          </cell>
          <cell r="I68">
            <v>6.0665849758042741E-2</v>
          </cell>
          <cell r="J68">
            <v>-2.4263655288759345E-2</v>
          </cell>
          <cell r="M68">
            <v>0.05</v>
          </cell>
          <cell r="N68">
            <v>0.05</v>
          </cell>
          <cell r="O68">
            <v>0.05</v>
          </cell>
          <cell r="P68">
            <v>0.05</v>
          </cell>
          <cell r="Q68">
            <v>0.05</v>
          </cell>
        </row>
        <row r="74">
          <cell r="B74" t="str">
            <v>Accounts receivable (% of sales)</v>
          </cell>
          <cell r="C74" t="str">
            <v>[%]</v>
          </cell>
          <cell r="D74" t="str">
            <v>[calc],[input]</v>
          </cell>
          <cell r="F74">
            <v>6.6626133619892544E-2</v>
          </cell>
          <cell r="G74">
            <v>4.1909079831983408E-2</v>
          </cell>
          <cell r="H74">
            <v>5.0196495875540245E-2</v>
          </cell>
          <cell r="I74">
            <v>4.4797497931750391E-2</v>
          </cell>
          <cell r="J74">
            <v>4.5256055646978099E-2</v>
          </cell>
          <cell r="M74">
            <v>4.9757052581228936E-2</v>
          </cell>
          <cell r="N74">
            <v>4.9757052581228936E-2</v>
          </cell>
          <cell r="O74">
            <v>4.9757052581228936E-2</v>
          </cell>
          <cell r="P74">
            <v>4.9757052581228936E-2</v>
          </cell>
          <cell r="Q74">
            <v>4.9757052581228936E-2</v>
          </cell>
          <cell r="R74">
            <v>4.9757052581228936E-2</v>
          </cell>
          <cell r="S74">
            <v>4.9757052581228936E-2</v>
          </cell>
        </row>
        <row r="75">
          <cell r="B75" t="str">
            <v>Inventory (% of COGS)</v>
          </cell>
          <cell r="C75" t="str">
            <v>[%]</v>
          </cell>
          <cell r="D75" t="str">
            <v>[calc],[input]</v>
          </cell>
          <cell r="F75">
            <v>4.5100349832160561E-2</v>
          </cell>
          <cell r="G75">
            <v>6.2396688245624533E-2</v>
          </cell>
          <cell r="H75">
            <v>5.3743026916966884E-2</v>
          </cell>
          <cell r="I75">
            <v>3.2170142779618577E-2</v>
          </cell>
          <cell r="J75">
            <v>2.1770477816988532E-2</v>
          </cell>
          <cell r="M75">
            <v>4.3036137118271825E-2</v>
          </cell>
          <cell r="N75">
            <v>4.3036137118271825E-2</v>
          </cell>
          <cell r="O75">
            <v>4.3036137118271825E-2</v>
          </cell>
          <cell r="P75">
            <v>4.3036137118271825E-2</v>
          </cell>
          <cell r="Q75">
            <v>4.3036137118271825E-2</v>
          </cell>
          <cell r="R75">
            <v>4.3036137118271825E-2</v>
          </cell>
          <cell r="S75">
            <v>4.3036137118271825E-2</v>
          </cell>
        </row>
        <row r="77">
          <cell r="B77" t="str">
            <v>Accounts payable and accrued liabilities(% of COGS)</v>
          </cell>
          <cell r="C77" t="str">
            <v>[%]</v>
          </cell>
          <cell r="D77" t="str">
            <v>[calc],[input]</v>
          </cell>
          <cell r="F77">
            <v>0.16972551867156083</v>
          </cell>
          <cell r="G77">
            <v>0.16402914294322676</v>
          </cell>
          <cell r="H77">
            <v>0.10312453385125127</v>
          </cell>
          <cell r="I77">
            <v>8.8519659284749863E-2</v>
          </cell>
          <cell r="J77">
            <v>7.5626134240957724E-2</v>
          </cell>
          <cell r="M77">
            <v>0.1202049977983493</v>
          </cell>
          <cell r="N77">
            <v>0.1202049977983493</v>
          </cell>
          <cell r="O77">
            <v>0.1202049977983493</v>
          </cell>
          <cell r="P77">
            <v>0.1202049977983493</v>
          </cell>
          <cell r="Q77">
            <v>0.1202049977983493</v>
          </cell>
          <cell r="R77">
            <v>0.1202049977983493</v>
          </cell>
          <cell r="S77">
            <v>0.1202049977983493</v>
          </cell>
        </row>
        <row r="78">
          <cell r="B78" t="str">
            <v>Other current liab. (% of COGS)</v>
          </cell>
          <cell r="C78" t="str">
            <v>[%]</v>
          </cell>
          <cell r="D78" t="str">
            <v>[calc],[input]</v>
          </cell>
          <cell r="F78">
            <v>0.17318876475710202</v>
          </cell>
          <cell r="G78">
            <v>0.1019848238773198</v>
          </cell>
          <cell r="H78">
            <v>9.9861429829200585E-2</v>
          </cell>
          <cell r="I78">
            <v>0.13133168988911381</v>
          </cell>
          <cell r="J78">
            <v>0.12081964137517662</v>
          </cell>
          <cell r="M78">
            <v>0.12543726994558257</v>
          </cell>
          <cell r="N78">
            <v>0.12543726994558257</v>
          </cell>
          <cell r="O78">
            <v>0.12543726994558257</v>
          </cell>
          <cell r="P78">
            <v>0.12543726994558257</v>
          </cell>
          <cell r="Q78">
            <v>0.12543726994558257</v>
          </cell>
          <cell r="R78">
            <v>0.12543726994558257</v>
          </cell>
          <cell r="S78">
            <v>0.12543726994558257</v>
          </cell>
        </row>
        <row r="97">
          <cell r="B97" t="str">
            <v>Interest income from customers as % of revenues</v>
          </cell>
          <cell r="C97" t="str">
            <v>[%]</v>
          </cell>
          <cell r="D97" t="str">
            <v>[input], [calc]</v>
          </cell>
          <cell r="F97">
            <v>3.6469470641300579E-2</v>
          </cell>
          <cell r="G97">
            <v>1.9562847591261315E-2</v>
          </cell>
          <cell r="H97">
            <v>1.4144961467173933E-3</v>
          </cell>
          <cell r="I97">
            <v>1.9266425823489305E-3</v>
          </cell>
          <cell r="J97">
            <v>5.1650083170535028E-3</v>
          </cell>
          <cell r="M97">
            <v>2.8353823487066092E-3</v>
          </cell>
          <cell r="N97">
            <v>2.8353823487066092E-3</v>
          </cell>
          <cell r="O97">
            <v>2.8353823487066092E-3</v>
          </cell>
          <cell r="P97">
            <v>2.8353823487066092E-3</v>
          </cell>
          <cell r="Q97">
            <v>2.8353823487066092E-3</v>
          </cell>
          <cell r="R97">
            <v>2.8353823487066092E-3</v>
          </cell>
          <cell r="S97">
            <v>2.8353823487066092E-3</v>
          </cell>
        </row>
      </sheetData>
      <sheetData sheetId="2">
        <row r="10">
          <cell r="B10" t="str">
            <v>Total Revenues</v>
          </cell>
          <cell r="F10">
            <v>2687519</v>
          </cell>
          <cell r="G10">
            <v>2987324</v>
          </cell>
          <cell r="H10">
            <v>3045611</v>
          </cell>
          <cell r="I10">
            <v>4184698</v>
          </cell>
          <cell r="J10">
            <v>5269792</v>
          </cell>
          <cell r="M10">
            <v>5284961.7899999991</v>
          </cell>
          <cell r="N10">
            <v>5481847.5230999999</v>
          </cell>
          <cell r="O10">
            <v>5871205.2589470008</v>
          </cell>
          <cell r="P10">
            <v>6249825.9045261918</v>
          </cell>
          <cell r="Q10">
            <v>7593369.7673262469</v>
          </cell>
          <cell r="R10">
            <v>9112087.8747950904</v>
          </cell>
          <cell r="S10">
            <v>9385450.5110389441</v>
          </cell>
        </row>
        <row r="12">
          <cell r="B12" t="str">
            <v>Cost of goods sold</v>
          </cell>
          <cell r="F12">
            <v>-1625065</v>
          </cell>
          <cell r="G12">
            <v>-1938308</v>
          </cell>
          <cell r="H12">
            <v>-1991049</v>
          </cell>
          <cell r="I12">
            <v>-2699615</v>
          </cell>
          <cell r="J12">
            <v>-3310033</v>
          </cell>
          <cell r="M12">
            <v>-3223826.6918999995</v>
          </cell>
          <cell r="N12">
            <v>-3343926.9890910001</v>
          </cell>
          <cell r="O12">
            <v>-3581435.2079576706</v>
          </cell>
          <cell r="P12">
            <v>-3812393.8017609776</v>
          </cell>
          <cell r="Q12">
            <v>-4631955.5580690112</v>
          </cell>
          <cell r="R12">
            <v>-5558373.603625006</v>
          </cell>
          <cell r="S12">
            <v>-5725124.8117337571</v>
          </cell>
        </row>
        <row r="15">
          <cell r="B15" t="str">
            <v>SG&amp;A and Other</v>
          </cell>
          <cell r="F15">
            <v>-414849</v>
          </cell>
          <cell r="G15">
            <v>-473667</v>
          </cell>
          <cell r="H15">
            <v>-409052</v>
          </cell>
          <cell r="I15">
            <v>-454273</v>
          </cell>
          <cell r="J15">
            <v>-553480</v>
          </cell>
          <cell r="M15">
            <v>-581345.79689999996</v>
          </cell>
          <cell r="N15">
            <v>-603003.227541</v>
          </cell>
          <cell r="O15">
            <v>-587120.52589470008</v>
          </cell>
          <cell r="P15">
            <v>-666648.0964827938</v>
          </cell>
          <cell r="Q15">
            <v>-809959.44184813311</v>
          </cell>
        </row>
        <row r="19">
          <cell r="B19" t="str">
            <v>EBIT</v>
          </cell>
          <cell r="F19">
            <v>427355</v>
          </cell>
          <cell r="G19">
            <v>312136</v>
          </cell>
          <cell r="H19">
            <v>234963</v>
          </cell>
          <cell r="I19">
            <v>625252</v>
          </cell>
          <cell r="J19">
            <v>1008240</v>
          </cell>
          <cell r="M19">
            <v>1082801.5781999996</v>
          </cell>
          <cell r="N19">
            <v>1161790.901784067</v>
          </cell>
          <cell r="O19">
            <v>1365787.5476710135</v>
          </cell>
          <cell r="P19">
            <v>1388070.9382885792</v>
          </cell>
          <cell r="Q19">
            <v>1725224.7879811297</v>
          </cell>
        </row>
        <row r="50">
          <cell r="B50" t="str">
            <v>Depreciation of PP&amp;E</v>
          </cell>
          <cell r="F50">
            <v>220250</v>
          </cell>
          <cell r="G50">
            <v>263213</v>
          </cell>
          <cell r="H50">
            <v>410547</v>
          </cell>
          <cell r="I50">
            <v>405558</v>
          </cell>
          <cell r="J50">
            <v>398039</v>
          </cell>
          <cell r="M50">
            <v>396987.723</v>
          </cell>
          <cell r="N50">
            <v>373126.4046839326</v>
          </cell>
          <cell r="O50">
            <v>336861.97742361663</v>
          </cell>
          <cell r="P50">
            <v>382713.06799384119</v>
          </cell>
          <cell r="Q50">
            <v>426229.97942797281</v>
          </cell>
        </row>
        <row r="63">
          <cell r="B63" t="str">
            <v>Change in working capital</v>
          </cell>
          <cell r="F63">
            <v>243988</v>
          </cell>
          <cell r="G63">
            <v>49491</v>
          </cell>
          <cell r="H63">
            <v>144302</v>
          </cell>
          <cell r="I63">
            <v>335158</v>
          </cell>
          <cell r="J63">
            <v>292683</v>
          </cell>
          <cell r="M63">
            <v>77891.783553139801</v>
          </cell>
          <cell r="N63">
            <v>183983.52975411748</v>
          </cell>
          <cell r="O63">
            <v>213427.45711998371</v>
          </cell>
          <cell r="P63">
            <v>211784.92157479242</v>
          </cell>
          <cell r="Q63">
            <v>359396.6714189233</v>
          </cell>
        </row>
        <row r="75">
          <cell r="B75" t="str">
            <v>Cash flow from investing activities</v>
          </cell>
          <cell r="F75">
            <v>-824073</v>
          </cell>
          <cell r="G75">
            <v>-1338999</v>
          </cell>
          <cell r="H75">
            <v>-551080</v>
          </cell>
          <cell r="I75">
            <v>-296123</v>
          </cell>
          <cell r="J75">
            <v>-459100</v>
          </cell>
          <cell r="M75">
            <v>-279576.57792221307</v>
          </cell>
          <cell r="N75">
            <v>-401768.51295624336</v>
          </cell>
          <cell r="O75">
            <v>-991877.55699825264</v>
          </cell>
          <cell r="P75">
            <v>-1004383.2313385782</v>
          </cell>
          <cell r="Q75">
            <v>-1090540.2690413683</v>
          </cell>
        </row>
      </sheetData>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GF Assumptions"/>
      <sheetName val="LGF Financials"/>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PPT (Output)"/>
      <sheetName val="Bar Chart"/>
      <sheetName val="Comps (Manual)"/>
      <sheetName val="Comps - Data Pull (BB)"/>
      <sheetName val="Comps - Pasted (BB)"/>
      <sheetName val="CAGRs - Data Pull (BB)"/>
      <sheetName val="CAGRs - Pasted (BB)"/>
    </sheetNames>
    <sheetDataSet>
      <sheetData sheetId="0" refreshError="1"/>
      <sheetData sheetId="1"/>
      <sheetData sheetId="2" refreshError="1"/>
      <sheetData sheetId="3">
        <row r="6">
          <cell r="B6" t="str">
            <v>Take Two Interactive</v>
          </cell>
        </row>
      </sheetData>
      <sheetData sheetId="4">
        <row r="6">
          <cell r="AF6" t="e">
            <v>#NAME?</v>
          </cell>
          <cell r="AG6" t="e">
            <v>#NAME?</v>
          </cell>
          <cell r="AI6" t="e">
            <v>#NAME?</v>
          </cell>
          <cell r="AL6" t="e">
            <v>#NAME?</v>
          </cell>
          <cell r="AM6" t="e">
            <v>#NAME?</v>
          </cell>
          <cell r="AN6" t="e">
            <v>#NAME?</v>
          </cell>
          <cell r="AO6" t="e">
            <v>#NAME?</v>
          </cell>
          <cell r="AP6" t="e">
            <v>#NAME?</v>
          </cell>
          <cell r="AQ6" t="e">
            <v>#NAME?</v>
          </cell>
          <cell r="AR6" t="e">
            <v>#NAME?</v>
          </cell>
          <cell r="AS6" t="e">
            <v>#NAME?</v>
          </cell>
          <cell r="AT6" t="e">
            <v>#NAME?</v>
          </cell>
          <cell r="AU6" t="e">
            <v>#NAME?</v>
          </cell>
          <cell r="BE6" t="e">
            <v>#NAME?</v>
          </cell>
          <cell r="BH6" t="e">
            <v>#NAME?</v>
          </cell>
          <cell r="BI6" t="e">
            <v>#NAME?</v>
          </cell>
          <cell r="BJ6" t="e">
            <v>#NAME?</v>
          </cell>
          <cell r="BK6" t="e">
            <v>#NAME?</v>
          </cell>
          <cell r="BL6" t="e">
            <v>#NAME?</v>
          </cell>
          <cell r="BM6" t="e">
            <v>#NAME?</v>
          </cell>
          <cell r="BN6" t="e">
            <v>#NAME?</v>
          </cell>
          <cell r="BO6" t="e">
            <v>#NAME?</v>
          </cell>
          <cell r="BP6" t="e">
            <v>#NAME?</v>
          </cell>
          <cell r="BQ6" t="e">
            <v>#NAME?</v>
          </cell>
          <cell r="BR6" t="e">
            <v>#NAME?</v>
          </cell>
          <cell r="BS6" t="e">
            <v>#NAME?</v>
          </cell>
          <cell r="BT6" t="e">
            <v>#NAME?</v>
          </cell>
          <cell r="BU6" t="e">
            <v>#NAME?</v>
          </cell>
          <cell r="BV6" t="e">
            <v>#NAME?</v>
          </cell>
          <cell r="BW6" t="e">
            <v>#NAME?</v>
          </cell>
        </row>
        <row r="7">
          <cell r="AF7" t="e">
            <v>#NAME?</v>
          </cell>
          <cell r="AG7" t="e">
            <v>#NAME?</v>
          </cell>
          <cell r="AI7" t="e">
            <v>#NAME?</v>
          </cell>
          <cell r="AL7" t="e">
            <v>#NAME?</v>
          </cell>
          <cell r="AM7" t="e">
            <v>#NAME?</v>
          </cell>
          <cell r="AN7" t="e">
            <v>#NAME?</v>
          </cell>
          <cell r="AO7" t="e">
            <v>#NAME?</v>
          </cell>
          <cell r="AP7" t="e">
            <v>#NAME?</v>
          </cell>
          <cell r="AQ7" t="e">
            <v>#NAME?</v>
          </cell>
          <cell r="AR7" t="e">
            <v>#NAME?</v>
          </cell>
          <cell r="AS7" t="e">
            <v>#NAME?</v>
          </cell>
          <cell r="AT7" t="e">
            <v>#NAME?</v>
          </cell>
          <cell r="AU7" t="e">
            <v>#NAME?</v>
          </cell>
          <cell r="BE7" t="e">
            <v>#NAME?</v>
          </cell>
          <cell r="BH7" t="e">
            <v>#NAME?</v>
          </cell>
          <cell r="BI7" t="e">
            <v>#NAME?</v>
          </cell>
          <cell r="BJ7" t="e">
            <v>#NAME?</v>
          </cell>
          <cell r="BK7" t="e">
            <v>#NAME?</v>
          </cell>
          <cell r="BL7" t="e">
            <v>#NAME?</v>
          </cell>
          <cell r="BM7" t="e">
            <v>#NAME?</v>
          </cell>
          <cell r="BN7" t="e">
            <v>#NAME?</v>
          </cell>
          <cell r="BO7" t="e">
            <v>#NAME?</v>
          </cell>
          <cell r="BP7" t="e">
            <v>#NAME?</v>
          </cell>
          <cell r="BQ7" t="e">
            <v>#NAME?</v>
          </cell>
          <cell r="BR7" t="e">
            <v>#NAME?</v>
          </cell>
          <cell r="BS7" t="e">
            <v>#NAME?</v>
          </cell>
          <cell r="BT7" t="e">
            <v>#NAME?</v>
          </cell>
          <cell r="BU7" t="e">
            <v>#NAME?</v>
          </cell>
          <cell r="BV7" t="e">
            <v>#NAME?</v>
          </cell>
          <cell r="BW7" t="e">
            <v>#NAME?</v>
          </cell>
        </row>
        <row r="8">
          <cell r="AF8" t="e">
            <v>#NAME?</v>
          </cell>
          <cell r="AG8" t="e">
            <v>#NAME?</v>
          </cell>
          <cell r="AI8" t="e">
            <v>#NAME?</v>
          </cell>
          <cell r="AL8" t="e">
            <v>#NAME?</v>
          </cell>
          <cell r="AM8" t="e">
            <v>#NAME?</v>
          </cell>
          <cell r="AN8" t="e">
            <v>#NAME?</v>
          </cell>
          <cell r="AO8" t="e">
            <v>#NAME?</v>
          </cell>
          <cell r="AP8" t="e">
            <v>#NAME?</v>
          </cell>
          <cell r="AQ8" t="e">
            <v>#NAME?</v>
          </cell>
          <cell r="AR8" t="e">
            <v>#NAME?</v>
          </cell>
          <cell r="AS8" t="e">
            <v>#NAME?</v>
          </cell>
          <cell r="AT8" t="e">
            <v>#NAME?</v>
          </cell>
          <cell r="AU8" t="e">
            <v>#NAME?</v>
          </cell>
          <cell r="BE8" t="e">
            <v>#NAME?</v>
          </cell>
          <cell r="BH8" t="e">
            <v>#NAME?</v>
          </cell>
          <cell r="BI8" t="e">
            <v>#NAME?</v>
          </cell>
          <cell r="BJ8" t="e">
            <v>#NAME?</v>
          </cell>
          <cell r="BK8" t="e">
            <v>#NAME?</v>
          </cell>
          <cell r="BL8" t="e">
            <v>#NAME?</v>
          </cell>
          <cell r="BM8" t="e">
            <v>#NAME?</v>
          </cell>
          <cell r="BN8" t="e">
            <v>#NAME?</v>
          </cell>
          <cell r="BO8" t="e">
            <v>#NAME?</v>
          </cell>
          <cell r="BP8" t="e">
            <v>#NAME?</v>
          </cell>
          <cell r="BQ8" t="e">
            <v>#NAME?</v>
          </cell>
          <cell r="BR8" t="e">
            <v>#NAME?</v>
          </cell>
          <cell r="BS8" t="e">
            <v>#NAME?</v>
          </cell>
          <cell r="BT8" t="e">
            <v>#NAME?</v>
          </cell>
          <cell r="BU8" t="e">
            <v>#NAME?</v>
          </cell>
          <cell r="BV8" t="e">
            <v>#NAME?</v>
          </cell>
          <cell r="BW8" t="e">
            <v>#NAME?</v>
          </cell>
        </row>
        <row r="9">
          <cell r="AF9" t="e">
            <v>#NAME?</v>
          </cell>
          <cell r="AG9" t="e">
            <v>#NAME?</v>
          </cell>
          <cell r="AI9" t="e">
            <v>#NAME?</v>
          </cell>
          <cell r="AL9" t="e">
            <v>#NAME?</v>
          </cell>
          <cell r="AM9" t="e">
            <v>#NAME?</v>
          </cell>
          <cell r="AN9" t="e">
            <v>#NAME?</v>
          </cell>
          <cell r="AO9" t="e">
            <v>#NAME?</v>
          </cell>
          <cell r="AP9" t="e">
            <v>#NAME?</v>
          </cell>
          <cell r="AQ9" t="e">
            <v>#NAME?</v>
          </cell>
          <cell r="AR9" t="e">
            <v>#NAME?</v>
          </cell>
          <cell r="AS9" t="e">
            <v>#NAME?</v>
          </cell>
          <cell r="AT9" t="e">
            <v>#NAME?</v>
          </cell>
          <cell r="AU9" t="e">
            <v>#NAME?</v>
          </cell>
          <cell r="BE9" t="e">
            <v>#NAME?</v>
          </cell>
          <cell r="BH9" t="e">
            <v>#NAME?</v>
          </cell>
          <cell r="BI9" t="e">
            <v>#NAME?</v>
          </cell>
          <cell r="BJ9" t="e">
            <v>#NAME?</v>
          </cell>
          <cell r="BK9" t="e">
            <v>#NAME?</v>
          </cell>
          <cell r="BL9" t="e">
            <v>#NAME?</v>
          </cell>
          <cell r="BM9" t="e">
            <v>#NAME?</v>
          </cell>
          <cell r="BN9" t="e">
            <v>#NAME?</v>
          </cell>
          <cell r="BO9" t="e">
            <v>#NAME?</v>
          </cell>
          <cell r="BP9" t="e">
            <v>#NAME?</v>
          </cell>
          <cell r="BQ9" t="e">
            <v>#NAME?</v>
          </cell>
          <cell r="BR9" t="e">
            <v>#NAME?</v>
          </cell>
          <cell r="BS9" t="e">
            <v>#NAME?</v>
          </cell>
          <cell r="BT9" t="e">
            <v>#NAME?</v>
          </cell>
          <cell r="BU9" t="e">
            <v>#NAME?</v>
          </cell>
          <cell r="BV9" t="e">
            <v>#NAME?</v>
          </cell>
          <cell r="BW9" t="e">
            <v>#NAME?</v>
          </cell>
        </row>
        <row r="10">
          <cell r="AF10" t="e">
            <v>#NAME?</v>
          </cell>
          <cell r="AG10" t="e">
            <v>#NAME?</v>
          </cell>
          <cell r="AI10" t="e">
            <v>#NAME?</v>
          </cell>
          <cell r="AL10" t="e">
            <v>#NAME?</v>
          </cell>
          <cell r="AM10" t="e">
            <v>#NAME?</v>
          </cell>
          <cell r="AN10" t="e">
            <v>#NAME?</v>
          </cell>
          <cell r="AO10" t="e">
            <v>#NAME?</v>
          </cell>
          <cell r="AP10" t="e">
            <v>#NAME?</v>
          </cell>
          <cell r="AQ10" t="e">
            <v>#NAME?</v>
          </cell>
          <cell r="AR10" t="e">
            <v>#NAME?</v>
          </cell>
          <cell r="AS10" t="e">
            <v>#NAME?</v>
          </cell>
          <cell r="AT10" t="e">
            <v>#NAME?</v>
          </cell>
          <cell r="AU10" t="e">
            <v>#NAME?</v>
          </cell>
          <cell r="BE10" t="e">
            <v>#NAME?</v>
          </cell>
          <cell r="BH10" t="e">
            <v>#NAME?</v>
          </cell>
          <cell r="BI10" t="e">
            <v>#NAME?</v>
          </cell>
          <cell r="BJ10" t="e">
            <v>#NAME?</v>
          </cell>
          <cell r="BK10" t="e">
            <v>#NAME?</v>
          </cell>
          <cell r="BL10" t="e">
            <v>#NAME?</v>
          </cell>
          <cell r="BM10" t="e">
            <v>#NAME?</v>
          </cell>
          <cell r="BN10" t="e">
            <v>#NAME?</v>
          </cell>
          <cell r="BO10" t="e">
            <v>#NAME?</v>
          </cell>
          <cell r="BP10" t="e">
            <v>#NAME?</v>
          </cell>
          <cell r="BQ10" t="e">
            <v>#NAME?</v>
          </cell>
          <cell r="BR10" t="e">
            <v>#NAME?</v>
          </cell>
          <cell r="BS10" t="e">
            <v>#NAME?</v>
          </cell>
          <cell r="BT10" t="e">
            <v>#NAME?</v>
          </cell>
          <cell r="BU10" t="e">
            <v>#NAME?</v>
          </cell>
          <cell r="BV10" t="e">
            <v>#NAME?</v>
          </cell>
          <cell r="BW10" t="e">
            <v>#NAME?</v>
          </cell>
        </row>
        <row r="11">
          <cell r="AF11" t="e">
            <v>#NAME?</v>
          </cell>
          <cell r="AG11" t="e">
            <v>#NAME?</v>
          </cell>
          <cell r="AI11" t="e">
            <v>#NAME?</v>
          </cell>
          <cell r="AL11" t="e">
            <v>#NAME?</v>
          </cell>
          <cell r="AM11" t="e">
            <v>#NAME?</v>
          </cell>
          <cell r="AN11" t="e">
            <v>#NAME?</v>
          </cell>
          <cell r="AO11" t="e">
            <v>#NAME?</v>
          </cell>
          <cell r="AP11" t="e">
            <v>#NAME?</v>
          </cell>
          <cell r="AQ11" t="e">
            <v>#NAME?</v>
          </cell>
          <cell r="AR11" t="e">
            <v>#NAME?</v>
          </cell>
          <cell r="AS11" t="e">
            <v>#NAME?</v>
          </cell>
          <cell r="AT11" t="e">
            <v>#NAME?</v>
          </cell>
          <cell r="AU11" t="e">
            <v>#NAME?</v>
          </cell>
          <cell r="BE11" t="e">
            <v>#NAME?</v>
          </cell>
          <cell r="BH11" t="e">
            <v>#NAME?</v>
          </cell>
          <cell r="BI11" t="e">
            <v>#NAME?</v>
          </cell>
          <cell r="BJ11" t="e">
            <v>#NAME?</v>
          </cell>
          <cell r="BK11" t="e">
            <v>#NAME?</v>
          </cell>
          <cell r="BL11" t="e">
            <v>#NAME?</v>
          </cell>
          <cell r="BM11" t="e">
            <v>#NAME?</v>
          </cell>
          <cell r="BN11" t="e">
            <v>#NAME?</v>
          </cell>
          <cell r="BO11" t="e">
            <v>#NAME?</v>
          </cell>
          <cell r="BP11" t="e">
            <v>#NAME?</v>
          </cell>
          <cell r="BQ11" t="e">
            <v>#NAME?</v>
          </cell>
          <cell r="BR11" t="e">
            <v>#NAME?</v>
          </cell>
          <cell r="BS11" t="e">
            <v>#NAME?</v>
          </cell>
          <cell r="BT11" t="e">
            <v>#NAME?</v>
          </cell>
          <cell r="BU11" t="e">
            <v>#NAME?</v>
          </cell>
          <cell r="BV11" t="e">
            <v>#NAME?</v>
          </cell>
          <cell r="BW11" t="e">
            <v>#NAME?</v>
          </cell>
        </row>
        <row r="12">
          <cell r="AF12" t="e">
            <v>#NAME?</v>
          </cell>
          <cell r="AG12" t="e">
            <v>#NAME?</v>
          </cell>
          <cell r="AI12" t="e">
            <v>#NAME?</v>
          </cell>
          <cell r="AL12" t="e">
            <v>#NAME?</v>
          </cell>
          <cell r="AM12" t="e">
            <v>#NAME?</v>
          </cell>
          <cell r="AN12" t="e">
            <v>#NAME?</v>
          </cell>
          <cell r="AO12" t="e">
            <v>#NAME?</v>
          </cell>
          <cell r="AP12" t="e">
            <v>#NAME?</v>
          </cell>
          <cell r="AQ12" t="e">
            <v>#NAME?</v>
          </cell>
          <cell r="AR12" t="e">
            <v>#NAME?</v>
          </cell>
          <cell r="AS12" t="e">
            <v>#NAME?</v>
          </cell>
          <cell r="AT12" t="e">
            <v>#NAME?</v>
          </cell>
          <cell r="AU12" t="e">
            <v>#NAME?</v>
          </cell>
          <cell r="BE12" t="e">
            <v>#NAME?</v>
          </cell>
          <cell r="BH12" t="e">
            <v>#NAME?</v>
          </cell>
          <cell r="BI12" t="e">
            <v>#NAME?</v>
          </cell>
          <cell r="BJ12" t="e">
            <v>#NAME?</v>
          </cell>
          <cell r="BK12" t="e">
            <v>#NAME?</v>
          </cell>
          <cell r="BL12" t="e">
            <v>#NAME?</v>
          </cell>
          <cell r="BM12" t="e">
            <v>#NAME?</v>
          </cell>
          <cell r="BN12" t="e">
            <v>#NAME?</v>
          </cell>
          <cell r="BO12" t="e">
            <v>#NAME?</v>
          </cell>
          <cell r="BP12" t="e">
            <v>#NAME?</v>
          </cell>
          <cell r="BQ12" t="e">
            <v>#NAME?</v>
          </cell>
          <cell r="BR12" t="e">
            <v>#NAME?</v>
          </cell>
          <cell r="BS12" t="e">
            <v>#NAME?</v>
          </cell>
          <cell r="BT12" t="e">
            <v>#NAME?</v>
          </cell>
          <cell r="BU12" t="e">
            <v>#NAME?</v>
          </cell>
          <cell r="BV12" t="e">
            <v>#NAME?</v>
          </cell>
          <cell r="BW12" t="e">
            <v>#NAME?</v>
          </cell>
        </row>
        <row r="14">
          <cell r="AF14" t="e">
            <v>#NAME?</v>
          </cell>
          <cell r="AG14" t="e">
            <v>#NAME?</v>
          </cell>
          <cell r="AI14" t="e">
            <v>#NAME?</v>
          </cell>
          <cell r="AL14" t="e">
            <v>#NAME?</v>
          </cell>
          <cell r="AM14" t="e">
            <v>#NAME?</v>
          </cell>
          <cell r="AN14" t="e">
            <v>#NAME?</v>
          </cell>
          <cell r="AO14" t="e">
            <v>#NAME?</v>
          </cell>
          <cell r="AP14" t="e">
            <v>#NAME?</v>
          </cell>
          <cell r="AQ14" t="e">
            <v>#NAME?</v>
          </cell>
          <cell r="AR14" t="e">
            <v>#NAME?</v>
          </cell>
          <cell r="AS14" t="e">
            <v>#NAME?</v>
          </cell>
          <cell r="AT14" t="e">
            <v>#NAME?</v>
          </cell>
          <cell r="AU14" t="e">
            <v>#NAME?</v>
          </cell>
          <cell r="BE14" t="e">
            <v>#NAME?</v>
          </cell>
          <cell r="BH14" t="e">
            <v>#NAME?</v>
          </cell>
          <cell r="BI14" t="e">
            <v>#NAME?</v>
          </cell>
          <cell r="BJ14" t="e">
            <v>#NAME?</v>
          </cell>
          <cell r="BK14" t="e">
            <v>#NAME?</v>
          </cell>
          <cell r="BL14" t="e">
            <v>#NAME?</v>
          </cell>
          <cell r="BM14" t="e">
            <v>#NAME?</v>
          </cell>
          <cell r="BN14" t="e">
            <v>#NAME?</v>
          </cell>
          <cell r="BO14" t="e">
            <v>#NAME?</v>
          </cell>
          <cell r="BP14" t="e">
            <v>#NAME?</v>
          </cell>
          <cell r="BQ14" t="e">
            <v>#NAME?</v>
          </cell>
          <cell r="BR14" t="e">
            <v>#NAME?</v>
          </cell>
          <cell r="BS14" t="e">
            <v>#NAME?</v>
          </cell>
          <cell r="BT14" t="e">
            <v>#NAME?</v>
          </cell>
          <cell r="BU14" t="e">
            <v>#NAME?</v>
          </cell>
          <cell r="BV14" t="e">
            <v>#NAME?</v>
          </cell>
          <cell r="BW14" t="e">
            <v>#NAME?</v>
          </cell>
        </row>
        <row r="15">
          <cell r="AF15" t="e">
            <v>#NAME?</v>
          </cell>
          <cell r="AG15" t="e">
            <v>#NAME?</v>
          </cell>
          <cell r="AI15" t="e">
            <v>#NAME?</v>
          </cell>
          <cell r="AL15" t="e">
            <v>#NAME?</v>
          </cell>
          <cell r="AM15" t="e">
            <v>#NAME?</v>
          </cell>
          <cell r="AN15" t="e">
            <v>#NAME?</v>
          </cell>
          <cell r="AO15" t="e">
            <v>#NAME?</v>
          </cell>
          <cell r="AP15" t="e">
            <v>#NAME?</v>
          </cell>
          <cell r="AQ15" t="e">
            <v>#NAME?</v>
          </cell>
          <cell r="AR15" t="e">
            <v>#NAME?</v>
          </cell>
          <cell r="AS15" t="e">
            <v>#NAME?</v>
          </cell>
          <cell r="AT15" t="e">
            <v>#NAME?</v>
          </cell>
          <cell r="AU15" t="e">
            <v>#NAME?</v>
          </cell>
          <cell r="BE15" t="e">
            <v>#NAME?</v>
          </cell>
          <cell r="BH15" t="e">
            <v>#NAME?</v>
          </cell>
          <cell r="BI15" t="e">
            <v>#NAME?</v>
          </cell>
          <cell r="BJ15" t="e">
            <v>#NAME?</v>
          </cell>
          <cell r="BK15" t="e">
            <v>#NAME?</v>
          </cell>
          <cell r="BL15" t="e">
            <v>#NAME?</v>
          </cell>
          <cell r="BM15" t="e">
            <v>#NAME?</v>
          </cell>
          <cell r="BN15" t="e">
            <v>#NAME?</v>
          </cell>
          <cell r="BO15" t="e">
            <v>#NAME?</v>
          </cell>
          <cell r="BP15" t="e">
            <v>#NAME?</v>
          </cell>
          <cell r="BQ15" t="e">
            <v>#NAME?</v>
          </cell>
          <cell r="BR15" t="e">
            <v>#NAME?</v>
          </cell>
          <cell r="BS15" t="e">
            <v>#NAME?</v>
          </cell>
          <cell r="BT15" t="e">
            <v>#NAME?</v>
          </cell>
          <cell r="BU15" t="e">
            <v>#NAME?</v>
          </cell>
          <cell r="BV15" t="e">
            <v>#NAME?</v>
          </cell>
          <cell r="BW15" t="e">
            <v>#NAME?</v>
          </cell>
        </row>
        <row r="16">
          <cell r="AF16" t="e">
            <v>#NAME?</v>
          </cell>
          <cell r="AG16" t="e">
            <v>#NAME?</v>
          </cell>
          <cell r="AI16" t="e">
            <v>#NAME?</v>
          </cell>
          <cell r="AL16" t="e">
            <v>#NAME?</v>
          </cell>
          <cell r="AM16" t="e">
            <v>#NAME?</v>
          </cell>
          <cell r="AN16" t="e">
            <v>#NAME?</v>
          </cell>
          <cell r="AO16" t="e">
            <v>#NAME?</v>
          </cell>
          <cell r="AP16" t="e">
            <v>#NAME?</v>
          </cell>
          <cell r="AQ16" t="e">
            <v>#NAME?</v>
          </cell>
          <cell r="AR16" t="e">
            <v>#NAME?</v>
          </cell>
          <cell r="AS16" t="e">
            <v>#NAME?</v>
          </cell>
          <cell r="AT16" t="e">
            <v>#NAME?</v>
          </cell>
          <cell r="AU16" t="e">
            <v>#NAME?</v>
          </cell>
          <cell r="BE16" t="e">
            <v>#NAME?</v>
          </cell>
          <cell r="BH16" t="e">
            <v>#NAME?</v>
          </cell>
          <cell r="BI16" t="e">
            <v>#NAME?</v>
          </cell>
          <cell r="BJ16" t="e">
            <v>#NAME?</v>
          </cell>
          <cell r="BK16" t="e">
            <v>#NAME?</v>
          </cell>
          <cell r="BL16" t="e">
            <v>#NAME?</v>
          </cell>
          <cell r="BM16" t="e">
            <v>#NAME?</v>
          </cell>
          <cell r="BN16" t="e">
            <v>#NAME?</v>
          </cell>
          <cell r="BO16" t="e">
            <v>#NAME?</v>
          </cell>
          <cell r="BP16" t="e">
            <v>#NAME?</v>
          </cell>
          <cell r="BQ16" t="e">
            <v>#NAME?</v>
          </cell>
          <cell r="BR16" t="e">
            <v>#NAME?</v>
          </cell>
          <cell r="BS16" t="e">
            <v>#NAME?</v>
          </cell>
          <cell r="BT16" t="e">
            <v>#NAME?</v>
          </cell>
          <cell r="BU16" t="e">
            <v>#NAME?</v>
          </cell>
          <cell r="BV16" t="e">
            <v>#NAME?</v>
          </cell>
          <cell r="BW16" t="e">
            <v>#NAME?</v>
          </cell>
        </row>
        <row r="17">
          <cell r="AF17" t="e">
            <v>#NAME?</v>
          </cell>
          <cell r="AG17" t="e">
            <v>#NAME?</v>
          </cell>
          <cell r="AI17" t="e">
            <v>#NAME?</v>
          </cell>
          <cell r="AL17" t="e">
            <v>#NAME?</v>
          </cell>
          <cell r="AM17" t="e">
            <v>#NAME?</v>
          </cell>
          <cell r="AN17" t="e">
            <v>#NAME?</v>
          </cell>
          <cell r="AO17" t="e">
            <v>#NAME?</v>
          </cell>
          <cell r="AP17" t="e">
            <v>#NAME?</v>
          </cell>
          <cell r="AQ17" t="e">
            <v>#NAME?</v>
          </cell>
          <cell r="AR17" t="e">
            <v>#NAME?</v>
          </cell>
          <cell r="AS17" t="e">
            <v>#NAME?</v>
          </cell>
          <cell r="AT17" t="e">
            <v>#NAME?</v>
          </cell>
          <cell r="AU17" t="e">
            <v>#NAME?</v>
          </cell>
          <cell r="BE17" t="e">
            <v>#NAME?</v>
          </cell>
          <cell r="BH17" t="e">
            <v>#NAME?</v>
          </cell>
          <cell r="BI17" t="e">
            <v>#NAME?</v>
          </cell>
          <cell r="BJ17" t="e">
            <v>#NAME?</v>
          </cell>
          <cell r="BK17" t="e">
            <v>#NAME?</v>
          </cell>
          <cell r="BL17" t="e">
            <v>#NAME?</v>
          </cell>
          <cell r="BM17" t="e">
            <v>#NAME?</v>
          </cell>
          <cell r="BN17" t="e">
            <v>#NAME?</v>
          </cell>
          <cell r="BO17" t="e">
            <v>#NAME?</v>
          </cell>
          <cell r="BP17" t="e">
            <v>#NAME?</v>
          </cell>
          <cell r="BQ17" t="e">
            <v>#NAME?</v>
          </cell>
          <cell r="BR17" t="e">
            <v>#NAME?</v>
          </cell>
          <cell r="BS17" t="e">
            <v>#NAME?</v>
          </cell>
          <cell r="BT17" t="e">
            <v>#NAME?</v>
          </cell>
          <cell r="BU17" t="e">
            <v>#NAME?</v>
          </cell>
          <cell r="BV17" t="e">
            <v>#NAME?</v>
          </cell>
          <cell r="BW17" t="e">
            <v>#NAME?</v>
          </cell>
        </row>
        <row r="18">
          <cell r="AF18" t="e">
            <v>#NAME?</v>
          </cell>
          <cell r="AG18" t="e">
            <v>#NAME?</v>
          </cell>
          <cell r="AI18" t="e">
            <v>#NAME?</v>
          </cell>
          <cell r="AL18" t="e">
            <v>#NAME?</v>
          </cell>
          <cell r="AM18" t="e">
            <v>#NAME?</v>
          </cell>
          <cell r="AN18" t="e">
            <v>#NAME?</v>
          </cell>
          <cell r="AO18" t="e">
            <v>#NAME?</v>
          </cell>
          <cell r="AP18" t="e">
            <v>#NAME?</v>
          </cell>
          <cell r="AQ18" t="e">
            <v>#NAME?</v>
          </cell>
          <cell r="AR18" t="e">
            <v>#NAME?</v>
          </cell>
          <cell r="AS18" t="e">
            <v>#NAME?</v>
          </cell>
          <cell r="AT18" t="e">
            <v>#NAME?</v>
          </cell>
          <cell r="AU18" t="e">
            <v>#NAME?</v>
          </cell>
          <cell r="BE18" t="e">
            <v>#NAME?</v>
          </cell>
          <cell r="BH18" t="e">
            <v>#NAME?</v>
          </cell>
          <cell r="BI18" t="e">
            <v>#NAME?</v>
          </cell>
          <cell r="BJ18" t="e">
            <v>#NAME?</v>
          </cell>
          <cell r="BK18" t="e">
            <v>#NAME?</v>
          </cell>
          <cell r="BL18" t="e">
            <v>#NAME?</v>
          </cell>
          <cell r="BM18" t="e">
            <v>#NAME?</v>
          </cell>
          <cell r="BN18" t="e">
            <v>#NAME?</v>
          </cell>
          <cell r="BO18" t="e">
            <v>#NAME?</v>
          </cell>
          <cell r="BP18" t="e">
            <v>#NAME?</v>
          </cell>
          <cell r="BQ18" t="e">
            <v>#NAME?</v>
          </cell>
          <cell r="BR18" t="e">
            <v>#NAME?</v>
          </cell>
          <cell r="BS18" t="e">
            <v>#NAME?</v>
          </cell>
          <cell r="BT18" t="e">
            <v>#NAME?</v>
          </cell>
          <cell r="BU18" t="e">
            <v>#NAME?</v>
          </cell>
          <cell r="BV18" t="e">
            <v>#NAME?</v>
          </cell>
          <cell r="BW18" t="e">
            <v>#NAME?</v>
          </cell>
        </row>
        <row r="19">
          <cell r="AF19" t="e">
            <v>#NAME?</v>
          </cell>
          <cell r="AG19" t="e">
            <v>#NAME?</v>
          </cell>
          <cell r="AI19" t="e">
            <v>#NAME?</v>
          </cell>
          <cell r="AL19" t="e">
            <v>#NAME?</v>
          </cell>
          <cell r="AM19" t="e">
            <v>#NAME?</v>
          </cell>
          <cell r="AN19" t="e">
            <v>#NAME?</v>
          </cell>
          <cell r="AO19" t="e">
            <v>#NAME?</v>
          </cell>
          <cell r="AP19" t="e">
            <v>#NAME?</v>
          </cell>
          <cell r="AQ19" t="e">
            <v>#NAME?</v>
          </cell>
          <cell r="AR19" t="e">
            <v>#NAME?</v>
          </cell>
          <cell r="AS19" t="e">
            <v>#NAME?</v>
          </cell>
          <cell r="AT19" t="e">
            <v>#NAME?</v>
          </cell>
          <cell r="AU19" t="e">
            <v>#NAME?</v>
          </cell>
          <cell r="BE19" t="e">
            <v>#NAME?</v>
          </cell>
          <cell r="BH19" t="e">
            <v>#NAME?</v>
          </cell>
          <cell r="BI19" t="e">
            <v>#NAME?</v>
          </cell>
          <cell r="BJ19" t="e">
            <v>#NAME?</v>
          </cell>
          <cell r="BK19" t="e">
            <v>#NAME?</v>
          </cell>
          <cell r="BL19" t="e">
            <v>#NAME?</v>
          </cell>
          <cell r="BM19" t="e">
            <v>#NAME?</v>
          </cell>
          <cell r="BN19" t="e">
            <v>#NAME?</v>
          </cell>
          <cell r="BO19" t="e">
            <v>#NAME?</v>
          </cell>
          <cell r="BP19" t="e">
            <v>#NAME?</v>
          </cell>
          <cell r="BQ19" t="e">
            <v>#NAME?</v>
          </cell>
          <cell r="BR19" t="e">
            <v>#NAME?</v>
          </cell>
          <cell r="BS19" t="e">
            <v>#NAME?</v>
          </cell>
          <cell r="BT19" t="e">
            <v>#NAME?</v>
          </cell>
          <cell r="BU19" t="e">
            <v>#NAME?</v>
          </cell>
          <cell r="BV19" t="e">
            <v>#NAME?</v>
          </cell>
          <cell r="BW19" t="e">
            <v>#NAME?</v>
          </cell>
        </row>
        <row r="21">
          <cell r="AF21" t="e">
            <v>#NAME?</v>
          </cell>
          <cell r="AG21" t="e">
            <v>#NAME?</v>
          </cell>
          <cell r="AI21" t="e">
            <v>#NAME?</v>
          </cell>
          <cell r="AL21" t="e">
            <v>#NAME?</v>
          </cell>
          <cell r="AM21" t="e">
            <v>#NAME?</v>
          </cell>
          <cell r="AN21" t="e">
            <v>#NAME?</v>
          </cell>
          <cell r="AO21" t="e">
            <v>#NAME?</v>
          </cell>
          <cell r="AP21" t="e">
            <v>#NAME?</v>
          </cell>
          <cell r="AQ21" t="e">
            <v>#NAME?</v>
          </cell>
          <cell r="AR21" t="e">
            <v>#NAME?</v>
          </cell>
          <cell r="AS21" t="e">
            <v>#NAME?</v>
          </cell>
          <cell r="AT21" t="e">
            <v>#NAME?</v>
          </cell>
          <cell r="AU21" t="e">
            <v>#NAME?</v>
          </cell>
          <cell r="BE21" t="e">
            <v>#NAME?</v>
          </cell>
          <cell r="BH21" t="e">
            <v>#NAME?</v>
          </cell>
          <cell r="BI21" t="e">
            <v>#NAME?</v>
          </cell>
          <cell r="BJ21" t="e">
            <v>#NAME?</v>
          </cell>
          <cell r="BK21" t="e">
            <v>#NAME?</v>
          </cell>
          <cell r="BL21" t="e">
            <v>#NAME?</v>
          </cell>
          <cell r="BM21" t="e">
            <v>#NAME?</v>
          </cell>
          <cell r="BN21" t="e">
            <v>#NAME?</v>
          </cell>
          <cell r="BO21" t="e">
            <v>#NAME?</v>
          </cell>
          <cell r="BP21" t="e">
            <v>#NAME?</v>
          </cell>
          <cell r="BQ21" t="e">
            <v>#NAME?</v>
          </cell>
          <cell r="BR21" t="e">
            <v>#NAME?</v>
          </cell>
          <cell r="BS21" t="e">
            <v>#NAME?</v>
          </cell>
          <cell r="BT21" t="e">
            <v>#NAME?</v>
          </cell>
          <cell r="BU21" t="e">
            <v>#NAME?</v>
          </cell>
          <cell r="BV21" t="e">
            <v>#NAME?</v>
          </cell>
          <cell r="BW21" t="e">
            <v>#NAME?</v>
          </cell>
        </row>
        <row r="22">
          <cell r="AF22" t="e">
            <v>#NAME?</v>
          </cell>
          <cell r="AG22" t="e">
            <v>#NAME?</v>
          </cell>
          <cell r="AI22" t="e">
            <v>#NAME?</v>
          </cell>
          <cell r="AL22" t="e">
            <v>#NAME?</v>
          </cell>
          <cell r="AM22" t="e">
            <v>#NAME?</v>
          </cell>
          <cell r="AN22" t="e">
            <v>#NAME?</v>
          </cell>
          <cell r="AO22" t="e">
            <v>#NAME?</v>
          </cell>
          <cell r="AP22" t="e">
            <v>#NAME?</v>
          </cell>
          <cell r="AQ22" t="e">
            <v>#NAME?</v>
          </cell>
          <cell r="AR22" t="e">
            <v>#NAME?</v>
          </cell>
          <cell r="AS22" t="e">
            <v>#NAME?</v>
          </cell>
          <cell r="AT22" t="e">
            <v>#NAME?</v>
          </cell>
          <cell r="AU22" t="e">
            <v>#NAME?</v>
          </cell>
          <cell r="BE22" t="e">
            <v>#NAME?</v>
          </cell>
          <cell r="BH22" t="e">
            <v>#NAME?</v>
          </cell>
          <cell r="BI22" t="e">
            <v>#NAME?</v>
          </cell>
          <cell r="BJ22" t="e">
            <v>#NAME?</v>
          </cell>
          <cell r="BK22" t="e">
            <v>#NAME?</v>
          </cell>
          <cell r="BL22" t="e">
            <v>#NAME?</v>
          </cell>
          <cell r="BM22" t="e">
            <v>#NAME?</v>
          </cell>
          <cell r="BN22" t="e">
            <v>#NAME?</v>
          </cell>
          <cell r="BO22" t="e">
            <v>#NAME?</v>
          </cell>
          <cell r="BP22" t="e">
            <v>#NAME?</v>
          </cell>
          <cell r="BQ22" t="e">
            <v>#NAME?</v>
          </cell>
          <cell r="BR22" t="e">
            <v>#NAME?</v>
          </cell>
          <cell r="BS22" t="e">
            <v>#NAME?</v>
          </cell>
          <cell r="BT22" t="e">
            <v>#NAME?</v>
          </cell>
          <cell r="BU22" t="e">
            <v>#NAME?</v>
          </cell>
          <cell r="BV22" t="e">
            <v>#NAME?</v>
          </cell>
          <cell r="BW22" t="e">
            <v>#NAME?</v>
          </cell>
        </row>
        <row r="23">
          <cell r="AF23" t="e">
            <v>#NAME?</v>
          </cell>
          <cell r="AG23" t="e">
            <v>#NAME?</v>
          </cell>
          <cell r="AI23" t="e">
            <v>#NAME?</v>
          </cell>
          <cell r="AL23" t="e">
            <v>#NAME?</v>
          </cell>
          <cell r="AM23" t="e">
            <v>#NAME?</v>
          </cell>
          <cell r="AN23" t="e">
            <v>#NAME?</v>
          </cell>
          <cell r="AO23" t="e">
            <v>#NAME?</v>
          </cell>
          <cell r="AP23" t="e">
            <v>#NAME?</v>
          </cell>
          <cell r="AQ23" t="e">
            <v>#NAME?</v>
          </cell>
          <cell r="AR23" t="e">
            <v>#NAME?</v>
          </cell>
          <cell r="AS23" t="e">
            <v>#NAME?</v>
          </cell>
          <cell r="AT23" t="e">
            <v>#NAME?</v>
          </cell>
          <cell r="AU23" t="e">
            <v>#NAME?</v>
          </cell>
          <cell r="BE23" t="e">
            <v>#NAME?</v>
          </cell>
          <cell r="BH23" t="e">
            <v>#NAME?</v>
          </cell>
          <cell r="BI23" t="e">
            <v>#NAME?</v>
          </cell>
          <cell r="BJ23" t="e">
            <v>#NAME?</v>
          </cell>
          <cell r="BK23" t="e">
            <v>#NAME?</v>
          </cell>
          <cell r="BL23" t="e">
            <v>#NAME?</v>
          </cell>
          <cell r="BM23" t="e">
            <v>#NAME?</v>
          </cell>
          <cell r="BN23" t="e">
            <v>#NAME?</v>
          </cell>
          <cell r="BO23" t="e">
            <v>#NAME?</v>
          </cell>
          <cell r="BP23" t="e">
            <v>#NAME?</v>
          </cell>
          <cell r="BQ23" t="e">
            <v>#NAME?</v>
          </cell>
          <cell r="BR23" t="e">
            <v>#NAME?</v>
          </cell>
          <cell r="BS23" t="e">
            <v>#NAME?</v>
          </cell>
          <cell r="BT23" t="e">
            <v>#NAME?</v>
          </cell>
          <cell r="BU23" t="e">
            <v>#NAME?</v>
          </cell>
          <cell r="BV23" t="e">
            <v>#NAME?</v>
          </cell>
          <cell r="BW23" t="e">
            <v>#NAME?</v>
          </cell>
        </row>
        <row r="24">
          <cell r="AF24" t="e">
            <v>#NAME?</v>
          </cell>
          <cell r="AG24" t="e">
            <v>#NAME?</v>
          </cell>
          <cell r="AI24" t="e">
            <v>#NAME?</v>
          </cell>
          <cell r="AL24" t="e">
            <v>#NAME?</v>
          </cell>
          <cell r="AM24" t="e">
            <v>#NAME?</v>
          </cell>
          <cell r="AN24" t="e">
            <v>#NAME?</v>
          </cell>
          <cell r="AO24" t="e">
            <v>#NAME?</v>
          </cell>
          <cell r="AP24" t="e">
            <v>#NAME?</v>
          </cell>
          <cell r="AQ24" t="e">
            <v>#NAME?</v>
          </cell>
          <cell r="AR24" t="e">
            <v>#NAME?</v>
          </cell>
          <cell r="AS24" t="e">
            <v>#NAME?</v>
          </cell>
          <cell r="AT24" t="e">
            <v>#NAME?</v>
          </cell>
          <cell r="AU24" t="e">
            <v>#NAME?</v>
          </cell>
          <cell r="BE24" t="e">
            <v>#NAME?</v>
          </cell>
          <cell r="BH24" t="e">
            <v>#NAME?</v>
          </cell>
          <cell r="BI24" t="e">
            <v>#NAME?</v>
          </cell>
          <cell r="BJ24" t="e">
            <v>#NAME?</v>
          </cell>
          <cell r="BK24" t="e">
            <v>#NAME?</v>
          </cell>
          <cell r="BL24" t="e">
            <v>#NAME?</v>
          </cell>
          <cell r="BM24" t="e">
            <v>#NAME?</v>
          </cell>
          <cell r="BN24" t="e">
            <v>#NAME?</v>
          </cell>
          <cell r="BO24" t="e">
            <v>#NAME?</v>
          </cell>
          <cell r="BP24" t="e">
            <v>#NAME?</v>
          </cell>
          <cell r="BQ24" t="e">
            <v>#NAME?</v>
          </cell>
          <cell r="BR24" t="e">
            <v>#NAME?</v>
          </cell>
          <cell r="BS24" t="e">
            <v>#NAME?</v>
          </cell>
          <cell r="BT24" t="e">
            <v>#NAME?</v>
          </cell>
          <cell r="BU24" t="e">
            <v>#NAME?</v>
          </cell>
          <cell r="BV24" t="e">
            <v>#NAME?</v>
          </cell>
          <cell r="BW24" t="e">
            <v>#NAME?</v>
          </cell>
        </row>
        <row r="26">
          <cell r="AF26" t="e">
            <v>#NAME?</v>
          </cell>
          <cell r="AG26" t="e">
            <v>#NAME?</v>
          </cell>
          <cell r="AI26" t="e">
            <v>#NAME?</v>
          </cell>
          <cell r="AL26" t="e">
            <v>#NAME?</v>
          </cell>
          <cell r="AM26" t="e">
            <v>#NAME?</v>
          </cell>
          <cell r="AN26" t="e">
            <v>#NAME?</v>
          </cell>
          <cell r="AO26" t="e">
            <v>#NAME?</v>
          </cell>
          <cell r="AP26" t="e">
            <v>#NAME?</v>
          </cell>
          <cell r="AQ26" t="e">
            <v>#NAME?</v>
          </cell>
          <cell r="AR26" t="e">
            <v>#NAME?</v>
          </cell>
          <cell r="AS26" t="e">
            <v>#NAME?</v>
          </cell>
          <cell r="AT26" t="e">
            <v>#NAME?</v>
          </cell>
          <cell r="AU26" t="e">
            <v>#NAME?</v>
          </cell>
          <cell r="BE26" t="e">
            <v>#NAME?</v>
          </cell>
          <cell r="BH26" t="e">
            <v>#NAME?</v>
          </cell>
          <cell r="BI26" t="e">
            <v>#NAME?</v>
          </cell>
          <cell r="BJ26" t="e">
            <v>#NAME?</v>
          </cell>
          <cell r="BK26" t="e">
            <v>#NAME?</v>
          </cell>
          <cell r="BL26" t="e">
            <v>#NAME?</v>
          </cell>
          <cell r="BM26" t="e">
            <v>#NAME?</v>
          </cell>
          <cell r="BN26" t="e">
            <v>#NAME?</v>
          </cell>
          <cell r="BO26" t="e">
            <v>#NAME?</v>
          </cell>
          <cell r="BP26" t="e">
            <v>#NAME?</v>
          </cell>
          <cell r="BQ26" t="e">
            <v>#NAME?</v>
          </cell>
          <cell r="BR26" t="e">
            <v>#NAME?</v>
          </cell>
          <cell r="BS26" t="e">
            <v>#NAME?</v>
          </cell>
          <cell r="BT26" t="e">
            <v>#NAME?</v>
          </cell>
          <cell r="BU26" t="e">
            <v>#NAME?</v>
          </cell>
          <cell r="BV26" t="e">
            <v>#NAME?</v>
          </cell>
          <cell r="BW26" t="e">
            <v>#NAME?</v>
          </cell>
        </row>
        <row r="27">
          <cell r="AF27" t="e">
            <v>#NAME?</v>
          </cell>
          <cell r="AG27" t="e">
            <v>#NAME?</v>
          </cell>
          <cell r="AI27" t="e">
            <v>#NAME?</v>
          </cell>
          <cell r="AL27" t="e">
            <v>#NAME?</v>
          </cell>
          <cell r="AM27" t="e">
            <v>#NAME?</v>
          </cell>
          <cell r="AN27" t="e">
            <v>#NAME?</v>
          </cell>
          <cell r="AO27" t="e">
            <v>#NAME?</v>
          </cell>
          <cell r="AP27" t="e">
            <v>#NAME?</v>
          </cell>
          <cell r="AQ27" t="e">
            <v>#NAME?</v>
          </cell>
          <cell r="AR27" t="e">
            <v>#NAME?</v>
          </cell>
          <cell r="AS27" t="e">
            <v>#NAME?</v>
          </cell>
          <cell r="AT27" t="e">
            <v>#NAME?</v>
          </cell>
          <cell r="AU27" t="e">
            <v>#NAME?</v>
          </cell>
          <cell r="BE27" t="e">
            <v>#NAME?</v>
          </cell>
          <cell r="BH27" t="e">
            <v>#NAME?</v>
          </cell>
          <cell r="BI27" t="e">
            <v>#NAME?</v>
          </cell>
          <cell r="BJ27" t="e">
            <v>#NAME?</v>
          </cell>
          <cell r="BK27" t="e">
            <v>#NAME?</v>
          </cell>
          <cell r="BL27" t="e">
            <v>#NAME?</v>
          </cell>
          <cell r="BM27" t="e">
            <v>#NAME?</v>
          </cell>
          <cell r="BN27" t="e">
            <v>#NAME?</v>
          </cell>
          <cell r="BO27" t="e">
            <v>#NAME?</v>
          </cell>
          <cell r="BP27" t="e">
            <v>#NAME?</v>
          </cell>
          <cell r="BQ27" t="e">
            <v>#NAME?</v>
          </cell>
          <cell r="BR27" t="e">
            <v>#NAME?</v>
          </cell>
          <cell r="BS27" t="e">
            <v>#NAME?</v>
          </cell>
          <cell r="BT27" t="e">
            <v>#NAME?</v>
          </cell>
          <cell r="BU27" t="e">
            <v>#NAME?</v>
          </cell>
          <cell r="BV27" t="e">
            <v>#NAME?</v>
          </cell>
          <cell r="BW27" t="e">
            <v>#NAME?</v>
          </cell>
        </row>
        <row r="28">
          <cell r="AF28" t="e">
            <v>#NAME?</v>
          </cell>
          <cell r="AG28" t="e">
            <v>#NAME?</v>
          </cell>
          <cell r="AI28" t="e">
            <v>#NAME?</v>
          </cell>
          <cell r="AL28" t="e">
            <v>#NAME?</v>
          </cell>
          <cell r="AM28" t="e">
            <v>#NAME?</v>
          </cell>
          <cell r="AN28" t="e">
            <v>#NAME?</v>
          </cell>
          <cell r="AO28" t="e">
            <v>#NAME?</v>
          </cell>
          <cell r="AP28" t="e">
            <v>#NAME?</v>
          </cell>
          <cell r="AQ28" t="e">
            <v>#NAME?</v>
          </cell>
          <cell r="AR28" t="e">
            <v>#NAME?</v>
          </cell>
          <cell r="AS28" t="e">
            <v>#NAME?</v>
          </cell>
          <cell r="AT28" t="e">
            <v>#NAME?</v>
          </cell>
          <cell r="AU28" t="e">
            <v>#NAME?</v>
          </cell>
          <cell r="BE28" t="e">
            <v>#NAME?</v>
          </cell>
          <cell r="BH28" t="e">
            <v>#NAME?</v>
          </cell>
          <cell r="BI28" t="e">
            <v>#NAME?</v>
          </cell>
          <cell r="BJ28" t="e">
            <v>#NAME?</v>
          </cell>
          <cell r="BK28" t="e">
            <v>#NAME?</v>
          </cell>
          <cell r="BL28" t="e">
            <v>#NAME?</v>
          </cell>
          <cell r="BM28" t="e">
            <v>#NAME?</v>
          </cell>
          <cell r="BN28" t="e">
            <v>#NAME?</v>
          </cell>
          <cell r="BO28" t="e">
            <v>#NAME?</v>
          </cell>
          <cell r="BP28" t="e">
            <v>#NAME?</v>
          </cell>
          <cell r="BQ28" t="e">
            <v>#NAME?</v>
          </cell>
          <cell r="BR28" t="e">
            <v>#NAME?</v>
          </cell>
          <cell r="BS28" t="e">
            <v>#NAME?</v>
          </cell>
          <cell r="BT28" t="e">
            <v>#NAME?</v>
          </cell>
          <cell r="BU28" t="e">
            <v>#NAME?</v>
          </cell>
          <cell r="BV28" t="e">
            <v>#NAME?</v>
          </cell>
          <cell r="BW28" t="e">
            <v>#NAME?</v>
          </cell>
        </row>
        <row r="29">
          <cell r="AF29" t="e">
            <v>#NAME?</v>
          </cell>
          <cell r="AG29" t="e">
            <v>#NAME?</v>
          </cell>
          <cell r="AI29" t="e">
            <v>#NAME?</v>
          </cell>
          <cell r="AL29" t="e">
            <v>#NAME?</v>
          </cell>
          <cell r="AM29" t="e">
            <v>#NAME?</v>
          </cell>
          <cell r="AN29" t="e">
            <v>#NAME?</v>
          </cell>
          <cell r="AO29" t="e">
            <v>#NAME?</v>
          </cell>
          <cell r="AP29" t="e">
            <v>#NAME?</v>
          </cell>
          <cell r="AQ29" t="e">
            <v>#NAME?</v>
          </cell>
          <cell r="AR29" t="e">
            <v>#NAME?</v>
          </cell>
          <cell r="AS29" t="e">
            <v>#NAME?</v>
          </cell>
          <cell r="AT29" t="e">
            <v>#NAME?</v>
          </cell>
          <cell r="AU29" t="e">
            <v>#NAME?</v>
          </cell>
          <cell r="BE29" t="e">
            <v>#NAME?</v>
          </cell>
          <cell r="BH29" t="e">
            <v>#NAME?</v>
          </cell>
          <cell r="BI29" t="e">
            <v>#NAME?</v>
          </cell>
          <cell r="BJ29" t="e">
            <v>#NAME?</v>
          </cell>
          <cell r="BK29" t="e">
            <v>#NAME?</v>
          </cell>
          <cell r="BL29" t="e">
            <v>#NAME?</v>
          </cell>
          <cell r="BM29" t="e">
            <v>#NAME?</v>
          </cell>
          <cell r="BN29" t="e">
            <v>#NAME?</v>
          </cell>
          <cell r="BO29" t="e">
            <v>#NAME?</v>
          </cell>
          <cell r="BP29" t="e">
            <v>#NAME?</v>
          </cell>
          <cell r="BQ29" t="e">
            <v>#NAME?</v>
          </cell>
          <cell r="BR29" t="e">
            <v>#NAME?</v>
          </cell>
          <cell r="BS29" t="e">
            <v>#NAME?</v>
          </cell>
          <cell r="BT29" t="e">
            <v>#NAME?</v>
          </cell>
          <cell r="BU29" t="e">
            <v>#NAME?</v>
          </cell>
          <cell r="BV29" t="e">
            <v>#NAME?</v>
          </cell>
          <cell r="BW29" t="e">
            <v>#NAME?</v>
          </cell>
        </row>
      </sheetData>
      <sheetData sheetId="5"/>
      <sheetData sheetId="6">
        <row r="4">
          <cell r="D4" t="e">
            <v>#NAME?</v>
          </cell>
          <cell r="E4" t="e">
            <v>#NAME?</v>
          </cell>
          <cell r="F4" t="e">
            <v>#NAME?</v>
          </cell>
          <cell r="G4" t="e">
            <v>#NAME?</v>
          </cell>
          <cell r="H4" t="e">
            <v>#NAME?</v>
          </cell>
          <cell r="I4" t="e">
            <v>#NAME?</v>
          </cell>
          <cell r="J4" t="e">
            <v>#NAME?</v>
          </cell>
          <cell r="K4" t="e">
            <v>#NAME?</v>
          </cell>
          <cell r="L4" t="e">
            <v>#NAME?</v>
          </cell>
          <cell r="M4" t="e">
            <v>#NAME?</v>
          </cell>
          <cell r="N4" t="e">
            <v>#NAME?</v>
          </cell>
          <cell r="Q4" t="e">
            <v>#NAME?</v>
          </cell>
          <cell r="R4" t="e">
            <v>#NAME?</v>
          </cell>
          <cell r="S4" t="e">
            <v>#NAME?</v>
          </cell>
          <cell r="T4" t="e">
            <v>#NAME?</v>
          </cell>
          <cell r="U4" t="e">
            <v>#NAME?</v>
          </cell>
          <cell r="V4" t="e">
            <v>#NAME?</v>
          </cell>
          <cell r="W4" t="e">
            <v>#NAME?</v>
          </cell>
          <cell r="X4" t="e">
            <v>#NAME?</v>
          </cell>
          <cell r="Y4" t="e">
            <v>#NAME?</v>
          </cell>
          <cell r="Z4" t="e">
            <v>#NAME?</v>
          </cell>
          <cell r="AA4" t="e">
            <v>#NAME?</v>
          </cell>
          <cell r="AE4" t="e">
            <v>#NAME?</v>
          </cell>
          <cell r="AF4" t="e">
            <v>#NAME?</v>
          </cell>
          <cell r="AG4" t="e">
            <v>#NAME?</v>
          </cell>
        </row>
        <row r="5">
          <cell r="D5" t="e">
            <v>#NAME?</v>
          </cell>
          <cell r="E5" t="e">
            <v>#NAME?</v>
          </cell>
          <cell r="F5" t="e">
            <v>#NAME?</v>
          </cell>
          <cell r="G5" t="e">
            <v>#NAME?</v>
          </cell>
          <cell r="H5" t="e">
            <v>#NAME?</v>
          </cell>
          <cell r="I5" t="e">
            <v>#NAME?</v>
          </cell>
          <cell r="J5" t="e">
            <v>#NAME?</v>
          </cell>
          <cell r="K5" t="e">
            <v>#NAME?</v>
          </cell>
          <cell r="L5" t="e">
            <v>#NAME?</v>
          </cell>
          <cell r="M5" t="e">
            <v>#NAME?</v>
          </cell>
          <cell r="N5" t="e">
            <v>#NAME?</v>
          </cell>
          <cell r="Q5" t="e">
            <v>#NAME?</v>
          </cell>
          <cell r="R5" t="e">
            <v>#NAME?</v>
          </cell>
          <cell r="S5" t="e">
            <v>#NAME?</v>
          </cell>
          <cell r="T5" t="e">
            <v>#NAME?</v>
          </cell>
          <cell r="U5" t="e">
            <v>#NAME?</v>
          </cell>
          <cell r="V5" t="e">
            <v>#NAME?</v>
          </cell>
          <cell r="W5" t="e">
            <v>#NAME?</v>
          </cell>
          <cell r="X5" t="e">
            <v>#NAME?</v>
          </cell>
          <cell r="Y5" t="e">
            <v>#NAME?</v>
          </cell>
          <cell r="Z5" t="e">
            <v>#NAME?</v>
          </cell>
          <cell r="AA5" t="e">
            <v>#NAME?</v>
          </cell>
          <cell r="AE5" t="e">
            <v>#NAME?</v>
          </cell>
          <cell r="AF5" t="e">
            <v>#NAME?</v>
          </cell>
          <cell r="AG5" t="e">
            <v>#NAME?</v>
          </cell>
        </row>
        <row r="6">
          <cell r="D6" t="e">
            <v>#NAME?</v>
          </cell>
          <cell r="E6" t="e">
            <v>#NAME?</v>
          </cell>
          <cell r="F6" t="e">
            <v>#NAME?</v>
          </cell>
          <cell r="G6" t="e">
            <v>#NAME?</v>
          </cell>
          <cell r="H6" t="e">
            <v>#NAME?</v>
          </cell>
          <cell r="I6" t="e">
            <v>#NAME?</v>
          </cell>
          <cell r="J6" t="e">
            <v>#NAME?</v>
          </cell>
          <cell r="K6" t="e">
            <v>#NAME?</v>
          </cell>
          <cell r="L6" t="e">
            <v>#NAME?</v>
          </cell>
          <cell r="M6" t="e">
            <v>#NAME?</v>
          </cell>
          <cell r="N6" t="e">
            <v>#NAME?</v>
          </cell>
          <cell r="Q6" t="e">
            <v>#NAME?</v>
          </cell>
          <cell r="R6" t="e">
            <v>#NAME?</v>
          </cell>
          <cell r="S6" t="e">
            <v>#NAME?</v>
          </cell>
          <cell r="T6" t="e">
            <v>#NAME?</v>
          </cell>
          <cell r="U6" t="e">
            <v>#NAME?</v>
          </cell>
          <cell r="V6" t="e">
            <v>#NAME?</v>
          </cell>
          <cell r="W6" t="e">
            <v>#NAME?</v>
          </cell>
          <cell r="X6" t="e">
            <v>#NAME?</v>
          </cell>
          <cell r="Y6" t="e">
            <v>#NAME?</v>
          </cell>
          <cell r="Z6" t="e">
            <v>#NAME?</v>
          </cell>
          <cell r="AA6" t="e">
            <v>#NAME?</v>
          </cell>
          <cell r="AE6" t="e">
            <v>#NAME?</v>
          </cell>
          <cell r="AF6" t="e">
            <v>#NAME?</v>
          </cell>
          <cell r="AG6" t="e">
            <v>#NAME?</v>
          </cell>
        </row>
        <row r="7">
          <cell r="D7" t="e">
            <v>#NAME?</v>
          </cell>
          <cell r="E7" t="e">
            <v>#NAME?</v>
          </cell>
          <cell r="F7" t="e">
            <v>#NAME?</v>
          </cell>
          <cell r="G7" t="e">
            <v>#NAME?</v>
          </cell>
          <cell r="H7" t="e">
            <v>#NAME?</v>
          </cell>
          <cell r="I7" t="e">
            <v>#NAME?</v>
          </cell>
          <cell r="J7" t="e">
            <v>#NAME?</v>
          </cell>
          <cell r="K7" t="e">
            <v>#NAME?</v>
          </cell>
          <cell r="L7" t="e">
            <v>#NAME?</v>
          </cell>
          <cell r="M7" t="e">
            <v>#NAME?</v>
          </cell>
          <cell r="N7" t="e">
            <v>#NAME?</v>
          </cell>
          <cell r="Q7" t="e">
            <v>#NAME?</v>
          </cell>
          <cell r="R7" t="e">
            <v>#NAME?</v>
          </cell>
          <cell r="S7" t="e">
            <v>#NAME?</v>
          </cell>
          <cell r="T7" t="e">
            <v>#NAME?</v>
          </cell>
          <cell r="U7" t="e">
            <v>#NAME?</v>
          </cell>
          <cell r="V7" t="e">
            <v>#NAME?</v>
          </cell>
          <cell r="W7" t="e">
            <v>#NAME?</v>
          </cell>
          <cell r="X7" t="e">
            <v>#NAME?</v>
          </cell>
          <cell r="Y7" t="e">
            <v>#NAME?</v>
          </cell>
          <cell r="Z7" t="e">
            <v>#NAME?</v>
          </cell>
          <cell r="AA7" t="e">
            <v>#NAME?</v>
          </cell>
          <cell r="AE7" t="e">
            <v>#NAME?</v>
          </cell>
          <cell r="AF7" t="e">
            <v>#NAME?</v>
          </cell>
          <cell r="AG7" t="e">
            <v>#NAME?</v>
          </cell>
        </row>
        <row r="8">
          <cell r="D8" t="e">
            <v>#NAME?</v>
          </cell>
          <cell r="E8" t="e">
            <v>#NAME?</v>
          </cell>
          <cell r="F8" t="e">
            <v>#NAME?</v>
          </cell>
          <cell r="G8" t="e">
            <v>#NAME?</v>
          </cell>
          <cell r="H8" t="e">
            <v>#NAME?</v>
          </cell>
          <cell r="I8" t="e">
            <v>#NAME?</v>
          </cell>
          <cell r="J8" t="e">
            <v>#NAME?</v>
          </cell>
          <cell r="K8" t="e">
            <v>#NAME?</v>
          </cell>
          <cell r="L8" t="e">
            <v>#NAME?</v>
          </cell>
          <cell r="M8" t="e">
            <v>#NAME?</v>
          </cell>
          <cell r="N8" t="e">
            <v>#NAME?</v>
          </cell>
          <cell r="Q8" t="e">
            <v>#NAME?</v>
          </cell>
          <cell r="R8" t="e">
            <v>#NAME?</v>
          </cell>
          <cell r="S8" t="e">
            <v>#NAME?</v>
          </cell>
          <cell r="T8" t="e">
            <v>#NAME?</v>
          </cell>
          <cell r="U8" t="e">
            <v>#NAME?</v>
          </cell>
          <cell r="V8" t="e">
            <v>#NAME?</v>
          </cell>
          <cell r="W8" t="e">
            <v>#NAME?</v>
          </cell>
          <cell r="X8" t="e">
            <v>#NAME?</v>
          </cell>
          <cell r="Y8" t="e">
            <v>#NAME?</v>
          </cell>
          <cell r="Z8" t="e">
            <v>#NAME?</v>
          </cell>
          <cell r="AA8" t="e">
            <v>#NAME?</v>
          </cell>
          <cell r="AE8" t="e">
            <v>#NAME?</v>
          </cell>
          <cell r="AF8" t="e">
            <v>#NAME?</v>
          </cell>
          <cell r="AG8" t="e">
            <v>#NAME?</v>
          </cell>
        </row>
        <row r="9">
          <cell r="D9" t="e">
            <v>#NAME?</v>
          </cell>
          <cell r="E9" t="e">
            <v>#NAME?</v>
          </cell>
          <cell r="F9" t="e">
            <v>#NAME?</v>
          </cell>
          <cell r="G9" t="e">
            <v>#NAME?</v>
          </cell>
          <cell r="H9" t="e">
            <v>#NAME?</v>
          </cell>
          <cell r="I9" t="e">
            <v>#NAME?</v>
          </cell>
          <cell r="J9" t="e">
            <v>#NAME?</v>
          </cell>
          <cell r="K9" t="e">
            <v>#NAME?</v>
          </cell>
          <cell r="L9" t="e">
            <v>#NAME?</v>
          </cell>
          <cell r="M9" t="e">
            <v>#NAME?</v>
          </cell>
          <cell r="N9" t="e">
            <v>#NAME?</v>
          </cell>
          <cell r="Q9" t="e">
            <v>#NAME?</v>
          </cell>
          <cell r="R9" t="e">
            <v>#NAME?</v>
          </cell>
          <cell r="S9" t="e">
            <v>#NAME?</v>
          </cell>
          <cell r="T9" t="e">
            <v>#NAME?</v>
          </cell>
          <cell r="U9" t="e">
            <v>#NAME?</v>
          </cell>
          <cell r="V9" t="e">
            <v>#NAME?</v>
          </cell>
          <cell r="W9" t="e">
            <v>#NAME?</v>
          </cell>
          <cell r="X9" t="e">
            <v>#NAME?</v>
          </cell>
          <cell r="Y9" t="e">
            <v>#NAME?</v>
          </cell>
          <cell r="Z9" t="e">
            <v>#NAME?</v>
          </cell>
          <cell r="AA9" t="e">
            <v>#NAME?</v>
          </cell>
          <cell r="AE9" t="e">
            <v>#NAME?</v>
          </cell>
          <cell r="AF9" t="e">
            <v>#NAME?</v>
          </cell>
          <cell r="AG9" t="e">
            <v>#NAME?</v>
          </cell>
        </row>
        <row r="10">
          <cell r="D10" t="e">
            <v>#NAME?</v>
          </cell>
          <cell r="E10" t="e">
            <v>#NAME?</v>
          </cell>
          <cell r="F10" t="e">
            <v>#NAME?</v>
          </cell>
          <cell r="G10" t="e">
            <v>#NAME?</v>
          </cell>
          <cell r="H10" t="e">
            <v>#NAME?</v>
          </cell>
          <cell r="I10" t="e">
            <v>#NAME?</v>
          </cell>
          <cell r="J10" t="e">
            <v>#NAME?</v>
          </cell>
          <cell r="K10" t="e">
            <v>#NAME?</v>
          </cell>
          <cell r="L10" t="e">
            <v>#NAME?</v>
          </cell>
          <cell r="M10" t="e">
            <v>#NAME?</v>
          </cell>
          <cell r="N10" t="e">
            <v>#NAME?</v>
          </cell>
          <cell r="Q10" t="e">
            <v>#NAME?</v>
          </cell>
          <cell r="R10" t="e">
            <v>#NAME?</v>
          </cell>
          <cell r="S10" t="e">
            <v>#NAME?</v>
          </cell>
          <cell r="T10" t="e">
            <v>#NAME?</v>
          </cell>
          <cell r="U10" t="e">
            <v>#NAME?</v>
          </cell>
          <cell r="V10" t="e">
            <v>#NAME?</v>
          </cell>
          <cell r="W10" t="e">
            <v>#NAME?</v>
          </cell>
          <cell r="X10" t="e">
            <v>#NAME?</v>
          </cell>
          <cell r="Y10" t="e">
            <v>#NAME?</v>
          </cell>
          <cell r="Z10" t="e">
            <v>#NAME?</v>
          </cell>
          <cell r="AA10" t="e">
            <v>#NAME?</v>
          </cell>
          <cell r="AE10" t="e">
            <v>#NAME?</v>
          </cell>
          <cell r="AF10" t="e">
            <v>#NAME?</v>
          </cell>
          <cell r="AG10" t="e">
            <v>#NAME?</v>
          </cell>
        </row>
        <row r="12">
          <cell r="D12" t="e">
            <v>#NAME?</v>
          </cell>
          <cell r="E12" t="e">
            <v>#NAME?</v>
          </cell>
          <cell r="F12" t="e">
            <v>#NAME?</v>
          </cell>
          <cell r="G12" t="e">
            <v>#NAME?</v>
          </cell>
          <cell r="H12" t="e">
            <v>#NAME?</v>
          </cell>
          <cell r="I12" t="e">
            <v>#NAME?</v>
          </cell>
          <cell r="J12" t="e">
            <v>#NAME?</v>
          </cell>
          <cell r="K12" t="e">
            <v>#NAME?</v>
          </cell>
          <cell r="L12" t="e">
            <v>#NAME?</v>
          </cell>
          <cell r="M12" t="e">
            <v>#NAME?</v>
          </cell>
          <cell r="N12" t="e">
            <v>#NAME?</v>
          </cell>
          <cell r="Q12" t="e">
            <v>#NAME?</v>
          </cell>
          <cell r="R12" t="e">
            <v>#NAME?</v>
          </cell>
          <cell r="S12" t="e">
            <v>#NAME?</v>
          </cell>
          <cell r="T12" t="e">
            <v>#NAME?</v>
          </cell>
          <cell r="U12" t="e">
            <v>#NAME?</v>
          </cell>
          <cell r="V12" t="e">
            <v>#NAME?</v>
          </cell>
          <cell r="W12" t="e">
            <v>#NAME?</v>
          </cell>
          <cell r="X12" t="e">
            <v>#NAME?</v>
          </cell>
          <cell r="Y12" t="e">
            <v>#NAME?</v>
          </cell>
          <cell r="Z12" t="e">
            <v>#NAME?</v>
          </cell>
          <cell r="AA12" t="e">
            <v>#NAME?</v>
          </cell>
          <cell r="AE12" t="e">
            <v>#NAME?</v>
          </cell>
          <cell r="AF12" t="e">
            <v>#NAME?</v>
          </cell>
          <cell r="AG12" t="e">
            <v>#NAME?</v>
          </cell>
        </row>
        <row r="13">
          <cell r="D13" t="e">
            <v>#NAME?</v>
          </cell>
          <cell r="E13" t="e">
            <v>#NAME?</v>
          </cell>
          <cell r="F13" t="e">
            <v>#NAME?</v>
          </cell>
          <cell r="G13" t="e">
            <v>#NAME?</v>
          </cell>
          <cell r="H13" t="e">
            <v>#NAME?</v>
          </cell>
          <cell r="I13" t="e">
            <v>#NAME?</v>
          </cell>
          <cell r="J13" t="e">
            <v>#NAME?</v>
          </cell>
          <cell r="K13" t="e">
            <v>#NAME?</v>
          </cell>
          <cell r="L13" t="e">
            <v>#NAME?</v>
          </cell>
          <cell r="M13" t="e">
            <v>#NAME?</v>
          </cell>
          <cell r="N13" t="e">
            <v>#NAME?</v>
          </cell>
          <cell r="Q13" t="e">
            <v>#NAME?</v>
          </cell>
          <cell r="R13" t="e">
            <v>#NAME?</v>
          </cell>
          <cell r="S13" t="e">
            <v>#NAME?</v>
          </cell>
          <cell r="T13" t="e">
            <v>#NAME?</v>
          </cell>
          <cell r="U13" t="e">
            <v>#NAME?</v>
          </cell>
          <cell r="V13" t="e">
            <v>#NAME?</v>
          </cell>
          <cell r="W13" t="e">
            <v>#NAME?</v>
          </cell>
          <cell r="X13" t="e">
            <v>#NAME?</v>
          </cell>
          <cell r="Y13" t="e">
            <v>#NAME?</v>
          </cell>
          <cell r="Z13" t="e">
            <v>#NAME?</v>
          </cell>
          <cell r="AA13" t="e">
            <v>#NAME?</v>
          </cell>
          <cell r="AE13" t="e">
            <v>#NAME?</v>
          </cell>
          <cell r="AF13" t="e">
            <v>#NAME?</v>
          </cell>
          <cell r="AG13" t="e">
            <v>#NAME?</v>
          </cell>
        </row>
        <row r="14">
          <cell r="D14" t="e">
            <v>#NAME?</v>
          </cell>
          <cell r="E14" t="e">
            <v>#NAME?</v>
          </cell>
          <cell r="F14" t="e">
            <v>#NAME?</v>
          </cell>
          <cell r="G14" t="e">
            <v>#NAME?</v>
          </cell>
          <cell r="H14" t="e">
            <v>#NAME?</v>
          </cell>
          <cell r="I14" t="e">
            <v>#NAME?</v>
          </cell>
          <cell r="J14" t="e">
            <v>#NAME?</v>
          </cell>
          <cell r="K14" t="e">
            <v>#NAME?</v>
          </cell>
          <cell r="L14" t="e">
            <v>#NAME?</v>
          </cell>
          <cell r="M14" t="e">
            <v>#NAME?</v>
          </cell>
          <cell r="N14" t="e">
            <v>#NAME?</v>
          </cell>
          <cell r="Q14" t="e">
            <v>#NAME?</v>
          </cell>
          <cell r="R14" t="e">
            <v>#NAME?</v>
          </cell>
          <cell r="S14" t="e">
            <v>#NAME?</v>
          </cell>
          <cell r="T14" t="e">
            <v>#NAME?</v>
          </cell>
          <cell r="U14" t="e">
            <v>#NAME?</v>
          </cell>
          <cell r="V14" t="e">
            <v>#NAME?</v>
          </cell>
          <cell r="W14" t="e">
            <v>#NAME?</v>
          </cell>
          <cell r="X14" t="e">
            <v>#NAME?</v>
          </cell>
          <cell r="Y14" t="e">
            <v>#NAME?</v>
          </cell>
          <cell r="Z14" t="e">
            <v>#NAME?</v>
          </cell>
          <cell r="AA14" t="e">
            <v>#NAME?</v>
          </cell>
          <cell r="AE14" t="e">
            <v>#NAME?</v>
          </cell>
          <cell r="AF14" t="e">
            <v>#NAME?</v>
          </cell>
          <cell r="AG14" t="e">
            <v>#NAME?</v>
          </cell>
        </row>
        <row r="15">
          <cell r="D15" t="e">
            <v>#NAME?</v>
          </cell>
          <cell r="E15" t="e">
            <v>#NAME?</v>
          </cell>
          <cell r="F15" t="e">
            <v>#NAME?</v>
          </cell>
          <cell r="G15" t="e">
            <v>#NAME?</v>
          </cell>
          <cell r="H15" t="e">
            <v>#NAME?</v>
          </cell>
          <cell r="I15" t="e">
            <v>#NAME?</v>
          </cell>
          <cell r="J15" t="e">
            <v>#NAME?</v>
          </cell>
          <cell r="K15" t="e">
            <v>#NAME?</v>
          </cell>
          <cell r="L15" t="e">
            <v>#NAME?</v>
          </cell>
          <cell r="M15" t="e">
            <v>#NAME?</v>
          </cell>
          <cell r="N15" t="e">
            <v>#NAME?</v>
          </cell>
          <cell r="Q15" t="e">
            <v>#NAME?</v>
          </cell>
          <cell r="R15" t="e">
            <v>#NAME?</v>
          </cell>
          <cell r="S15" t="e">
            <v>#NAME?</v>
          </cell>
          <cell r="T15" t="e">
            <v>#NAME?</v>
          </cell>
          <cell r="U15" t="e">
            <v>#NAME?</v>
          </cell>
          <cell r="V15" t="e">
            <v>#NAME?</v>
          </cell>
          <cell r="W15" t="e">
            <v>#NAME?</v>
          </cell>
          <cell r="X15" t="e">
            <v>#NAME?</v>
          </cell>
          <cell r="Y15" t="e">
            <v>#NAME?</v>
          </cell>
          <cell r="Z15" t="e">
            <v>#NAME?</v>
          </cell>
          <cell r="AA15" t="e">
            <v>#NAME?</v>
          </cell>
          <cell r="AE15" t="e">
            <v>#NAME?</v>
          </cell>
          <cell r="AF15" t="e">
            <v>#NAME?</v>
          </cell>
          <cell r="AG15" t="e">
            <v>#NAME?</v>
          </cell>
        </row>
        <row r="16">
          <cell r="D16" t="e">
            <v>#NAME?</v>
          </cell>
          <cell r="E16" t="e">
            <v>#NAME?</v>
          </cell>
          <cell r="F16" t="e">
            <v>#NAME?</v>
          </cell>
          <cell r="G16" t="e">
            <v>#NAME?</v>
          </cell>
          <cell r="H16" t="e">
            <v>#NAME?</v>
          </cell>
          <cell r="I16" t="e">
            <v>#NAME?</v>
          </cell>
          <cell r="J16" t="e">
            <v>#NAME?</v>
          </cell>
          <cell r="K16" t="e">
            <v>#NAME?</v>
          </cell>
          <cell r="L16" t="e">
            <v>#NAME?</v>
          </cell>
          <cell r="M16" t="e">
            <v>#NAME?</v>
          </cell>
          <cell r="N16" t="e">
            <v>#NAME?</v>
          </cell>
          <cell r="Q16" t="e">
            <v>#NAME?</v>
          </cell>
          <cell r="R16" t="e">
            <v>#NAME?</v>
          </cell>
          <cell r="S16" t="e">
            <v>#NAME?</v>
          </cell>
          <cell r="T16" t="e">
            <v>#NAME?</v>
          </cell>
          <cell r="U16" t="e">
            <v>#NAME?</v>
          </cell>
          <cell r="V16" t="e">
            <v>#NAME?</v>
          </cell>
          <cell r="W16" t="e">
            <v>#NAME?</v>
          </cell>
          <cell r="X16" t="e">
            <v>#NAME?</v>
          </cell>
          <cell r="Y16" t="e">
            <v>#NAME?</v>
          </cell>
          <cell r="Z16" t="e">
            <v>#NAME?</v>
          </cell>
          <cell r="AA16" t="e">
            <v>#NAME?</v>
          </cell>
          <cell r="AE16" t="e">
            <v>#NAME?</v>
          </cell>
          <cell r="AF16" t="e">
            <v>#NAME?</v>
          </cell>
          <cell r="AG16" t="e">
            <v>#NAME?</v>
          </cell>
        </row>
        <row r="17">
          <cell r="D17" t="e">
            <v>#NAME?</v>
          </cell>
          <cell r="E17" t="e">
            <v>#NAME?</v>
          </cell>
          <cell r="F17" t="e">
            <v>#NAME?</v>
          </cell>
          <cell r="G17" t="e">
            <v>#NAME?</v>
          </cell>
          <cell r="H17" t="e">
            <v>#NAME?</v>
          </cell>
          <cell r="I17" t="e">
            <v>#NAME?</v>
          </cell>
          <cell r="J17" t="e">
            <v>#NAME?</v>
          </cell>
          <cell r="K17" t="e">
            <v>#NAME?</v>
          </cell>
          <cell r="L17" t="e">
            <v>#NAME?</v>
          </cell>
          <cell r="M17" t="e">
            <v>#NAME?</v>
          </cell>
          <cell r="N17" t="e">
            <v>#NAME?</v>
          </cell>
          <cell r="Q17" t="e">
            <v>#NAME?</v>
          </cell>
          <cell r="R17" t="e">
            <v>#NAME?</v>
          </cell>
          <cell r="S17" t="e">
            <v>#NAME?</v>
          </cell>
          <cell r="T17" t="e">
            <v>#NAME?</v>
          </cell>
          <cell r="U17" t="e">
            <v>#NAME?</v>
          </cell>
          <cell r="V17" t="e">
            <v>#NAME?</v>
          </cell>
          <cell r="W17" t="e">
            <v>#NAME?</v>
          </cell>
          <cell r="X17" t="e">
            <v>#NAME?</v>
          </cell>
          <cell r="Y17" t="e">
            <v>#NAME?</v>
          </cell>
          <cell r="Z17" t="e">
            <v>#NAME?</v>
          </cell>
          <cell r="AA17" t="e">
            <v>#NAME?</v>
          </cell>
          <cell r="AE17" t="e">
            <v>#NAME?</v>
          </cell>
          <cell r="AF17" t="e">
            <v>#NAME?</v>
          </cell>
          <cell r="AG17" t="e">
            <v>#NAME?</v>
          </cell>
        </row>
        <row r="19">
          <cell r="D19" t="e">
            <v>#NAME?</v>
          </cell>
          <cell r="E19" t="e">
            <v>#NAME?</v>
          </cell>
          <cell r="F19" t="e">
            <v>#NAME?</v>
          </cell>
          <cell r="G19" t="e">
            <v>#NAME?</v>
          </cell>
          <cell r="H19" t="e">
            <v>#NAME?</v>
          </cell>
          <cell r="I19" t="e">
            <v>#NAME?</v>
          </cell>
          <cell r="J19" t="e">
            <v>#NAME?</v>
          </cell>
          <cell r="K19" t="e">
            <v>#NAME?</v>
          </cell>
          <cell r="L19" t="e">
            <v>#NAME?</v>
          </cell>
          <cell r="M19" t="e">
            <v>#NAME?</v>
          </cell>
          <cell r="N19" t="e">
            <v>#NAME?</v>
          </cell>
          <cell r="Q19" t="e">
            <v>#NAME?</v>
          </cell>
          <cell r="R19" t="e">
            <v>#NAME?</v>
          </cell>
          <cell r="S19" t="e">
            <v>#NAME?</v>
          </cell>
          <cell r="T19" t="e">
            <v>#NAME?</v>
          </cell>
          <cell r="U19" t="e">
            <v>#NAME?</v>
          </cell>
          <cell r="V19" t="e">
            <v>#NAME?</v>
          </cell>
          <cell r="W19" t="e">
            <v>#NAME?</v>
          </cell>
          <cell r="X19" t="e">
            <v>#NAME?</v>
          </cell>
          <cell r="Y19" t="e">
            <v>#NAME?</v>
          </cell>
          <cell r="Z19" t="e">
            <v>#NAME?</v>
          </cell>
          <cell r="AA19" t="e">
            <v>#NAME?</v>
          </cell>
          <cell r="AE19" t="e">
            <v>#NAME?</v>
          </cell>
          <cell r="AF19" t="e">
            <v>#NAME?</v>
          </cell>
          <cell r="AG19" t="e">
            <v>#NAME?</v>
          </cell>
        </row>
        <row r="20">
          <cell r="D20" t="e">
            <v>#NAME?</v>
          </cell>
          <cell r="E20" t="e">
            <v>#NAME?</v>
          </cell>
          <cell r="F20" t="e">
            <v>#NAME?</v>
          </cell>
          <cell r="G20" t="e">
            <v>#NAME?</v>
          </cell>
          <cell r="H20" t="e">
            <v>#NAME?</v>
          </cell>
          <cell r="I20" t="e">
            <v>#NAME?</v>
          </cell>
          <cell r="J20" t="e">
            <v>#NAME?</v>
          </cell>
          <cell r="K20" t="e">
            <v>#NAME?</v>
          </cell>
          <cell r="L20" t="e">
            <v>#NAME?</v>
          </cell>
          <cell r="M20" t="e">
            <v>#NAME?</v>
          </cell>
          <cell r="N20" t="e">
            <v>#NAME?</v>
          </cell>
          <cell r="Q20" t="e">
            <v>#NAME?</v>
          </cell>
          <cell r="R20" t="e">
            <v>#NAME?</v>
          </cell>
          <cell r="S20" t="e">
            <v>#NAME?</v>
          </cell>
          <cell r="T20" t="e">
            <v>#NAME?</v>
          </cell>
          <cell r="U20" t="e">
            <v>#NAME?</v>
          </cell>
          <cell r="V20" t="e">
            <v>#NAME?</v>
          </cell>
          <cell r="W20" t="e">
            <v>#NAME?</v>
          </cell>
          <cell r="X20" t="e">
            <v>#NAME?</v>
          </cell>
          <cell r="Y20" t="e">
            <v>#NAME?</v>
          </cell>
          <cell r="Z20" t="e">
            <v>#NAME?</v>
          </cell>
          <cell r="AA20" t="e">
            <v>#NAME?</v>
          </cell>
          <cell r="AE20" t="e">
            <v>#NAME?</v>
          </cell>
          <cell r="AF20" t="e">
            <v>#NAME?</v>
          </cell>
          <cell r="AG20" t="e">
            <v>#NAME?</v>
          </cell>
        </row>
        <row r="21">
          <cell r="D21" t="e">
            <v>#NAME?</v>
          </cell>
          <cell r="E21" t="e">
            <v>#NAME?</v>
          </cell>
          <cell r="F21" t="e">
            <v>#NAME?</v>
          </cell>
          <cell r="G21" t="e">
            <v>#NAME?</v>
          </cell>
          <cell r="H21" t="e">
            <v>#NAME?</v>
          </cell>
          <cell r="I21" t="e">
            <v>#NAME?</v>
          </cell>
          <cell r="J21" t="e">
            <v>#NAME?</v>
          </cell>
          <cell r="K21" t="e">
            <v>#NAME?</v>
          </cell>
          <cell r="L21" t="e">
            <v>#NAME?</v>
          </cell>
          <cell r="M21" t="e">
            <v>#NAME?</v>
          </cell>
          <cell r="N21" t="e">
            <v>#NAME?</v>
          </cell>
          <cell r="Q21" t="e">
            <v>#NAME?</v>
          </cell>
          <cell r="R21" t="e">
            <v>#NAME?</v>
          </cell>
          <cell r="S21" t="e">
            <v>#NAME?</v>
          </cell>
          <cell r="T21" t="e">
            <v>#NAME?</v>
          </cell>
          <cell r="U21" t="e">
            <v>#NAME?</v>
          </cell>
          <cell r="V21" t="e">
            <v>#NAME?</v>
          </cell>
          <cell r="W21" t="e">
            <v>#NAME?</v>
          </cell>
          <cell r="X21" t="e">
            <v>#NAME?</v>
          </cell>
          <cell r="Y21" t="e">
            <v>#NAME?</v>
          </cell>
          <cell r="Z21" t="e">
            <v>#NAME?</v>
          </cell>
          <cell r="AA21" t="e">
            <v>#NAME?</v>
          </cell>
          <cell r="AE21" t="e">
            <v>#NAME?</v>
          </cell>
          <cell r="AF21" t="e">
            <v>#NAME?</v>
          </cell>
          <cell r="AG21" t="e">
            <v>#NAME?</v>
          </cell>
        </row>
        <row r="22">
          <cell r="D22" t="e">
            <v>#NAME?</v>
          </cell>
          <cell r="E22" t="e">
            <v>#NAME?</v>
          </cell>
          <cell r="F22" t="e">
            <v>#NAME?</v>
          </cell>
          <cell r="G22" t="e">
            <v>#NAME?</v>
          </cell>
          <cell r="H22" t="e">
            <v>#NAME?</v>
          </cell>
          <cell r="I22" t="e">
            <v>#NAME?</v>
          </cell>
          <cell r="J22" t="e">
            <v>#NAME?</v>
          </cell>
          <cell r="K22" t="e">
            <v>#NAME?</v>
          </cell>
          <cell r="L22" t="e">
            <v>#NAME?</v>
          </cell>
          <cell r="M22" t="e">
            <v>#NAME?</v>
          </cell>
          <cell r="N22" t="e">
            <v>#NAME?</v>
          </cell>
          <cell r="Q22" t="e">
            <v>#NAME?</v>
          </cell>
          <cell r="R22" t="e">
            <v>#NAME?</v>
          </cell>
          <cell r="S22" t="e">
            <v>#NAME?</v>
          </cell>
          <cell r="T22" t="e">
            <v>#NAME?</v>
          </cell>
          <cell r="U22" t="e">
            <v>#NAME?</v>
          </cell>
          <cell r="V22" t="e">
            <v>#NAME?</v>
          </cell>
          <cell r="W22" t="e">
            <v>#NAME?</v>
          </cell>
          <cell r="X22" t="e">
            <v>#NAME?</v>
          </cell>
          <cell r="Y22" t="e">
            <v>#NAME?</v>
          </cell>
          <cell r="Z22" t="e">
            <v>#NAME?</v>
          </cell>
          <cell r="AA22" t="e">
            <v>#NAME?</v>
          </cell>
          <cell r="AE22" t="e">
            <v>#NAME?</v>
          </cell>
          <cell r="AF22" t="e">
            <v>#NAME?</v>
          </cell>
          <cell r="AG22" t="e">
            <v>#NAME?</v>
          </cell>
        </row>
        <row r="24">
          <cell r="D24" t="e">
            <v>#NAME?</v>
          </cell>
          <cell r="E24" t="e">
            <v>#NAME?</v>
          </cell>
          <cell r="F24" t="e">
            <v>#NAME?</v>
          </cell>
          <cell r="G24" t="e">
            <v>#NAME?</v>
          </cell>
          <cell r="H24" t="e">
            <v>#NAME?</v>
          </cell>
          <cell r="I24" t="e">
            <v>#NAME?</v>
          </cell>
          <cell r="J24" t="e">
            <v>#NAME?</v>
          </cell>
          <cell r="K24" t="e">
            <v>#NAME?</v>
          </cell>
          <cell r="L24" t="e">
            <v>#NAME?</v>
          </cell>
          <cell r="M24" t="e">
            <v>#NAME?</v>
          </cell>
          <cell r="N24" t="e">
            <v>#NAME?</v>
          </cell>
          <cell r="Q24" t="e">
            <v>#NAME?</v>
          </cell>
          <cell r="R24" t="e">
            <v>#NAME?</v>
          </cell>
          <cell r="S24" t="e">
            <v>#NAME?</v>
          </cell>
          <cell r="T24" t="e">
            <v>#NAME?</v>
          </cell>
          <cell r="U24" t="e">
            <v>#NAME?</v>
          </cell>
          <cell r="V24" t="e">
            <v>#NAME?</v>
          </cell>
          <cell r="W24" t="e">
            <v>#NAME?</v>
          </cell>
          <cell r="X24" t="e">
            <v>#NAME?</v>
          </cell>
          <cell r="Y24" t="e">
            <v>#NAME?</v>
          </cell>
          <cell r="Z24" t="e">
            <v>#NAME?</v>
          </cell>
          <cell r="AA24" t="e">
            <v>#NAME?</v>
          </cell>
          <cell r="AE24" t="e">
            <v>#NAME?</v>
          </cell>
          <cell r="AF24" t="e">
            <v>#NAME?</v>
          </cell>
          <cell r="AG24" t="e">
            <v>#NAME?</v>
          </cell>
        </row>
        <row r="25">
          <cell r="D25" t="e">
            <v>#NAME?</v>
          </cell>
          <cell r="E25" t="e">
            <v>#NAME?</v>
          </cell>
          <cell r="F25" t="e">
            <v>#NAME?</v>
          </cell>
          <cell r="G25" t="e">
            <v>#NAME?</v>
          </cell>
          <cell r="H25" t="e">
            <v>#NAME?</v>
          </cell>
          <cell r="I25" t="e">
            <v>#NAME?</v>
          </cell>
          <cell r="J25" t="e">
            <v>#NAME?</v>
          </cell>
          <cell r="K25" t="e">
            <v>#NAME?</v>
          </cell>
          <cell r="L25" t="e">
            <v>#NAME?</v>
          </cell>
          <cell r="M25" t="e">
            <v>#NAME?</v>
          </cell>
          <cell r="N25" t="e">
            <v>#NAME?</v>
          </cell>
          <cell r="Q25" t="e">
            <v>#NAME?</v>
          </cell>
          <cell r="R25" t="e">
            <v>#NAME?</v>
          </cell>
          <cell r="S25" t="e">
            <v>#NAME?</v>
          </cell>
          <cell r="T25" t="e">
            <v>#NAME?</v>
          </cell>
          <cell r="U25" t="e">
            <v>#NAME?</v>
          </cell>
          <cell r="V25" t="e">
            <v>#NAME?</v>
          </cell>
          <cell r="W25" t="e">
            <v>#NAME?</v>
          </cell>
          <cell r="X25" t="e">
            <v>#NAME?</v>
          </cell>
          <cell r="Y25" t="e">
            <v>#NAME?</v>
          </cell>
          <cell r="Z25" t="e">
            <v>#NAME?</v>
          </cell>
          <cell r="AA25" t="e">
            <v>#NAME?</v>
          </cell>
          <cell r="AE25" t="e">
            <v>#NAME?</v>
          </cell>
          <cell r="AF25" t="e">
            <v>#NAME?</v>
          </cell>
          <cell r="AG25" t="e">
            <v>#NAME?</v>
          </cell>
        </row>
        <row r="26">
          <cell r="D26" t="e">
            <v>#NAME?</v>
          </cell>
          <cell r="E26" t="e">
            <v>#NAME?</v>
          </cell>
          <cell r="F26" t="e">
            <v>#NAME?</v>
          </cell>
          <cell r="G26" t="e">
            <v>#NAME?</v>
          </cell>
          <cell r="H26" t="e">
            <v>#NAME?</v>
          </cell>
          <cell r="I26" t="e">
            <v>#NAME?</v>
          </cell>
          <cell r="J26" t="e">
            <v>#NAME?</v>
          </cell>
          <cell r="K26" t="e">
            <v>#NAME?</v>
          </cell>
          <cell r="L26" t="e">
            <v>#NAME?</v>
          </cell>
          <cell r="M26" t="e">
            <v>#NAME?</v>
          </cell>
          <cell r="N26" t="e">
            <v>#NAME?</v>
          </cell>
          <cell r="Q26" t="e">
            <v>#NAME?</v>
          </cell>
          <cell r="R26" t="e">
            <v>#NAME?</v>
          </cell>
          <cell r="S26" t="e">
            <v>#NAME?</v>
          </cell>
          <cell r="T26" t="e">
            <v>#NAME?</v>
          </cell>
          <cell r="U26" t="e">
            <v>#NAME?</v>
          </cell>
          <cell r="V26" t="e">
            <v>#NAME?</v>
          </cell>
          <cell r="W26" t="e">
            <v>#NAME?</v>
          </cell>
          <cell r="X26" t="e">
            <v>#NAME?</v>
          </cell>
          <cell r="Y26" t="e">
            <v>#NAME?</v>
          </cell>
          <cell r="Z26" t="e">
            <v>#NAME?</v>
          </cell>
          <cell r="AA26" t="e">
            <v>#NAME?</v>
          </cell>
          <cell r="AE26" t="e">
            <v>#NAME?</v>
          </cell>
          <cell r="AF26" t="e">
            <v>#NAME?</v>
          </cell>
          <cell r="AG26" t="e">
            <v>#NAME?</v>
          </cell>
        </row>
        <row r="27">
          <cell r="D27" t="e">
            <v>#NAME?</v>
          </cell>
          <cell r="E27" t="e">
            <v>#NAME?</v>
          </cell>
          <cell r="F27" t="e">
            <v>#NAME?</v>
          </cell>
          <cell r="G27" t="e">
            <v>#NAME?</v>
          </cell>
          <cell r="H27" t="e">
            <v>#NAME?</v>
          </cell>
          <cell r="I27" t="e">
            <v>#NAME?</v>
          </cell>
          <cell r="J27" t="e">
            <v>#NAME?</v>
          </cell>
          <cell r="K27" t="e">
            <v>#NAME?</v>
          </cell>
          <cell r="L27" t="e">
            <v>#NAME?</v>
          </cell>
          <cell r="M27" t="e">
            <v>#NAME?</v>
          </cell>
          <cell r="N27" t="e">
            <v>#NAME?</v>
          </cell>
          <cell r="Q27" t="e">
            <v>#NAME?</v>
          </cell>
          <cell r="R27" t="e">
            <v>#NAME?</v>
          </cell>
          <cell r="S27" t="e">
            <v>#NAME?</v>
          </cell>
          <cell r="T27" t="e">
            <v>#NAME?</v>
          </cell>
          <cell r="U27" t="e">
            <v>#NAME?</v>
          </cell>
          <cell r="V27" t="e">
            <v>#NAME?</v>
          </cell>
          <cell r="W27" t="e">
            <v>#NAME?</v>
          </cell>
          <cell r="X27" t="e">
            <v>#NAME?</v>
          </cell>
          <cell r="Y27" t="e">
            <v>#NAME?</v>
          </cell>
          <cell r="Z27" t="e">
            <v>#NAME?</v>
          </cell>
          <cell r="AA27" t="e">
            <v>#NAME?</v>
          </cell>
          <cell r="AE27" t="e">
            <v>#NAME?</v>
          </cell>
          <cell r="AF27" t="e">
            <v>#NAME?</v>
          </cell>
          <cell r="AG27" t="e">
            <v>#NAME?</v>
          </cell>
        </row>
      </sheetData>
      <sheetData sheetId="7">
        <row r="4">
          <cell r="D4">
            <v>1537.530029296875</v>
          </cell>
          <cell r="E4">
            <v>968.48800000000006</v>
          </cell>
          <cell r="F4">
            <v>1159.0170000000001</v>
          </cell>
          <cell r="G4">
            <v>1136.876</v>
          </cell>
          <cell r="H4">
            <v>825.82299999999998</v>
          </cell>
          <cell r="I4">
            <v>1214.4829999999999</v>
          </cell>
          <cell r="J4">
            <v>2381</v>
          </cell>
          <cell r="K4">
            <v>1436.05</v>
          </cell>
          <cell r="L4">
            <v>1436.05</v>
          </cell>
          <cell r="M4">
            <v>1655.25</v>
          </cell>
          <cell r="N4">
            <v>1.71</v>
          </cell>
          <cell r="R4">
            <v>-5.5919999999999987</v>
          </cell>
          <cell r="S4">
            <v>256.79899999999998</v>
          </cell>
          <cell r="T4">
            <v>239.87899999999999</v>
          </cell>
          <cell r="U4">
            <v>79.540000000000006</v>
          </cell>
          <cell r="V4">
            <v>253.62100000000001</v>
          </cell>
          <cell r="W4">
            <v>535.1</v>
          </cell>
          <cell r="X4">
            <v>161.49100000000001</v>
          </cell>
          <cell r="Y4">
            <v>226.45500000000001</v>
          </cell>
          <cell r="Z4">
            <v>208.5</v>
          </cell>
          <cell r="AA4">
            <v>212</v>
          </cell>
          <cell r="AB4">
            <v>-3.4229222304956259</v>
          </cell>
          <cell r="AF4">
            <v>1863547.8175999997</v>
          </cell>
          <cell r="AG4">
            <v>454.03100000000001</v>
          </cell>
          <cell r="AH4">
            <v>0.32948091636180249</v>
          </cell>
        </row>
        <row r="5">
          <cell r="D5">
            <v>3026</v>
          </cell>
          <cell r="E5">
            <v>4279</v>
          </cell>
          <cell r="F5">
            <v>4447</v>
          </cell>
          <cell r="G5">
            <v>4755</v>
          </cell>
          <cell r="H5">
            <v>4856</v>
          </cell>
          <cell r="I5">
            <v>4583</v>
          </cell>
          <cell r="J5">
            <v>4708.7269999999999</v>
          </cell>
          <cell r="K5">
            <v>4805.1900000000005</v>
          </cell>
          <cell r="L5">
            <v>4805.1900000000005</v>
          </cell>
          <cell r="M5">
            <v>5423.3330000000005</v>
          </cell>
          <cell r="N5">
            <v>5436</v>
          </cell>
          <cell r="R5">
            <v>1034</v>
          </cell>
          <cell r="S5">
            <v>1312</v>
          </cell>
          <cell r="T5">
            <v>1788</v>
          </cell>
          <cell r="U5">
            <v>1779</v>
          </cell>
          <cell r="V5">
            <v>1687</v>
          </cell>
          <cell r="W5">
            <v>1598.7860000000001</v>
          </cell>
          <cell r="X5">
            <v>1702.538</v>
          </cell>
          <cell r="Y5">
            <v>1834</v>
          </cell>
          <cell r="Z5">
            <v>1934.5</v>
          </cell>
          <cell r="AA5">
            <v>1728</v>
          </cell>
          <cell r="AB5">
            <v>0.19826204463973074</v>
          </cell>
          <cell r="AF5">
            <v>16132466.293999998</v>
          </cell>
          <cell r="AG5">
            <v>4320</v>
          </cell>
          <cell r="AH5">
            <v>0.26806714429444473</v>
          </cell>
        </row>
        <row r="6">
          <cell r="D6">
            <v>2611.2180673678913</v>
          </cell>
          <cell r="E6">
            <v>3095.1716743818047</v>
          </cell>
          <cell r="F6">
            <v>2826.8917740780853</v>
          </cell>
          <cell r="G6">
            <v>3018.7651733688517</v>
          </cell>
          <cell r="H6">
            <v>3368.1508869267614</v>
          </cell>
          <cell r="I6">
            <v>2735.0424603336828</v>
          </cell>
          <cell r="J6">
            <v>2092.596</v>
          </cell>
          <cell r="K6">
            <v>2365.3989999999999</v>
          </cell>
          <cell r="L6">
            <v>2365.3989999999999</v>
          </cell>
          <cell r="M6">
            <v>2410.9360000000001</v>
          </cell>
          <cell r="N6">
            <v>2534.5889999999999</v>
          </cell>
          <cell r="R6">
            <v>410.58328392166192</v>
          </cell>
          <cell r="S6">
            <v>340.3670694932045</v>
          </cell>
          <cell r="T6">
            <v>388.23359879996406</v>
          </cell>
          <cell r="U6">
            <v>643.16754795625832</v>
          </cell>
          <cell r="V6">
            <v>391.96688070659667</v>
          </cell>
          <cell r="W6">
            <v>211.24</v>
          </cell>
          <cell r="X6">
            <v>364.3</v>
          </cell>
          <cell r="Y6">
            <v>376.44200000000001</v>
          </cell>
          <cell r="Z6">
            <v>399.26800000000003</v>
          </cell>
          <cell r="AA6">
            <v>450.089</v>
          </cell>
          <cell r="AB6">
            <v>0.16137984921331561</v>
          </cell>
          <cell r="AF6">
            <v>344974000</v>
          </cell>
          <cell r="AG6">
            <v>59023</v>
          </cell>
          <cell r="AH6">
            <v>0.16643450111665051</v>
          </cell>
        </row>
        <row r="7">
          <cell r="D7">
            <v>1316.0502757438746</v>
          </cell>
          <cell r="E7">
            <v>1505.6390855573857</v>
          </cell>
          <cell r="F7">
            <v>1231.3290635542951</v>
          </cell>
          <cell r="G7">
            <v>1374.3616236137709</v>
          </cell>
          <cell r="H7">
            <v>1462.4516550062592</v>
          </cell>
          <cell r="I7">
            <v>1617.821822402082</v>
          </cell>
          <cell r="J7">
            <v>1391.922</v>
          </cell>
          <cell r="K7">
            <v>1984.0260000000001</v>
          </cell>
          <cell r="L7">
            <v>1984.0260000000001</v>
          </cell>
          <cell r="M7">
            <v>2371.9969999999998</v>
          </cell>
          <cell r="N7">
            <v>2301.9720000000002</v>
          </cell>
          <cell r="R7">
            <v>494.22286403333919</v>
          </cell>
          <cell r="S7">
            <v>329.54565996288619</v>
          </cell>
          <cell r="T7">
            <v>342.08814505936152</v>
          </cell>
          <cell r="U7">
            <v>566.1044505111405</v>
          </cell>
          <cell r="V7">
            <v>606.6619329429825</v>
          </cell>
          <cell r="W7">
            <v>130.03100000000001</v>
          </cell>
          <cell r="X7">
            <v>591.875</v>
          </cell>
          <cell r="Y7">
            <v>718.94500000000005</v>
          </cell>
          <cell r="Z7">
            <v>636.86599999999999</v>
          </cell>
          <cell r="AA7">
            <v>288.05700000000002</v>
          </cell>
          <cell r="AB7">
            <v>4.6304063585995259E-2</v>
          </cell>
          <cell r="AF7">
            <v>1210608.8422000001</v>
          </cell>
          <cell r="AG7" t="str">
            <v>#N/A N/A</v>
          </cell>
          <cell r="AH7" t="e">
            <v>#VALUE!</v>
          </cell>
        </row>
        <row r="8">
          <cell r="D8" t="str">
            <v>#N/A Invalid Security</v>
          </cell>
          <cell r="E8" t="str">
            <v>#N/A Invalid Security</v>
          </cell>
          <cell r="F8" t="str">
            <v>#N/A Invalid Security</v>
          </cell>
          <cell r="G8" t="str">
            <v>#N/A Invalid Security</v>
          </cell>
          <cell r="H8" t="str">
            <v>#N/A Invalid Security</v>
          </cell>
          <cell r="I8" t="str">
            <v>#N/A Invalid Security</v>
          </cell>
          <cell r="J8" t="str">
            <v>#N/A Invalid Security</v>
          </cell>
          <cell r="K8" t="str">
            <v>#N/A Invalid Security</v>
          </cell>
          <cell r="L8" t="str">
            <v>#N/A Invalid Security</v>
          </cell>
          <cell r="M8" t="str">
            <v>#N/A Invalid Security</v>
          </cell>
          <cell r="N8" t="str">
            <v>#N/A Invalid Security</v>
          </cell>
          <cell r="R8" t="str">
            <v>#N/A Invalid Security</v>
          </cell>
          <cell r="S8" t="str">
            <v>#N/A Invalid Security</v>
          </cell>
          <cell r="T8" t="str">
            <v>#N/A Invalid Security</v>
          </cell>
          <cell r="U8" t="str">
            <v>#N/A Invalid Security</v>
          </cell>
          <cell r="V8" t="str">
            <v>#N/A Invalid Security</v>
          </cell>
          <cell r="W8" t="str">
            <v>#N/A Invalid Security</v>
          </cell>
          <cell r="X8" t="str">
            <v>#N/A Invalid Security</v>
          </cell>
          <cell r="Y8" t="str">
            <v>#N/A Invalid Security</v>
          </cell>
          <cell r="Z8" t="str">
            <v>#N/A Invalid Security</v>
          </cell>
          <cell r="AA8" t="str">
            <v>#N/A Invalid Security</v>
          </cell>
          <cell r="AB8" t="e">
            <v>#VALUE!</v>
          </cell>
          <cell r="AF8" t="e">
            <v>#VALUE!</v>
          </cell>
          <cell r="AG8" t="str">
            <v>#N/A Invalid Security</v>
          </cell>
          <cell r="AH8" t="e">
            <v>#VALUE!</v>
          </cell>
        </row>
        <row r="9">
          <cell r="D9" t="str">
            <v>#N/A Invalid Security</v>
          </cell>
          <cell r="E9" t="str">
            <v>#N/A Invalid Security</v>
          </cell>
          <cell r="F9" t="str">
            <v>#N/A Invalid Security</v>
          </cell>
          <cell r="G9" t="str">
            <v>#N/A Invalid Security</v>
          </cell>
          <cell r="H9" t="str">
            <v>#N/A Invalid Security</v>
          </cell>
          <cell r="I9" t="str">
            <v>#N/A Invalid Security</v>
          </cell>
          <cell r="J9" t="str">
            <v>#N/A Invalid Security</v>
          </cell>
          <cell r="K9" t="str">
            <v>#N/A Invalid Security</v>
          </cell>
          <cell r="L9" t="str">
            <v>#N/A Invalid Security</v>
          </cell>
          <cell r="M9" t="str">
            <v>#N/A Invalid Security</v>
          </cell>
          <cell r="N9" t="str">
            <v>#N/A Invalid Security</v>
          </cell>
          <cell r="R9" t="str">
            <v>#N/A Invalid Security</v>
          </cell>
          <cell r="S9" t="str">
            <v>#N/A Invalid Security</v>
          </cell>
          <cell r="T9" t="str">
            <v>#N/A Invalid Security</v>
          </cell>
          <cell r="U9" t="str">
            <v>#N/A Invalid Security</v>
          </cell>
          <cell r="V9" t="str">
            <v>#N/A Invalid Security</v>
          </cell>
          <cell r="W9" t="str">
            <v>#N/A Invalid Security</v>
          </cell>
          <cell r="X9" t="str">
            <v>#N/A Invalid Security</v>
          </cell>
          <cell r="Y9" t="str">
            <v>#N/A Invalid Security</v>
          </cell>
          <cell r="Z9" t="str">
            <v>#N/A Invalid Security</v>
          </cell>
          <cell r="AA9" t="str">
            <v>#N/A Invalid Security</v>
          </cell>
          <cell r="AB9" t="e">
            <v>#VALUE!</v>
          </cell>
          <cell r="AF9" t="e">
            <v>#VALUE!</v>
          </cell>
          <cell r="AG9" t="str">
            <v>#N/A Invalid Security</v>
          </cell>
          <cell r="AH9" t="e">
            <v>#VALUE!</v>
          </cell>
        </row>
        <row r="10">
          <cell r="D10" t="str">
            <v>#N/A Invalid Security</v>
          </cell>
          <cell r="E10" t="str">
            <v>#N/A Invalid Security</v>
          </cell>
          <cell r="F10" t="str">
            <v>#N/A Invalid Security</v>
          </cell>
          <cell r="G10" t="str">
            <v>#N/A Invalid Security</v>
          </cell>
          <cell r="H10" t="str">
            <v>#N/A Invalid Security</v>
          </cell>
          <cell r="I10" t="str">
            <v>#N/A Invalid Security</v>
          </cell>
          <cell r="J10" t="str">
            <v>#N/A Invalid Security</v>
          </cell>
          <cell r="K10" t="str">
            <v>#N/A Invalid Security</v>
          </cell>
          <cell r="L10" t="str">
            <v>#N/A Invalid Security</v>
          </cell>
          <cell r="M10" t="str">
            <v>#N/A Invalid Security</v>
          </cell>
          <cell r="N10" t="str">
            <v>#N/A Invalid Security</v>
          </cell>
          <cell r="R10" t="str">
            <v>#N/A Invalid Security</v>
          </cell>
          <cell r="S10" t="str">
            <v>#N/A Invalid Security</v>
          </cell>
          <cell r="T10" t="str">
            <v>#N/A Invalid Security</v>
          </cell>
          <cell r="U10" t="str">
            <v>#N/A Invalid Security</v>
          </cell>
          <cell r="V10" t="str">
            <v>#N/A Invalid Security</v>
          </cell>
          <cell r="W10" t="str">
            <v>#N/A Invalid Security</v>
          </cell>
          <cell r="X10" t="str">
            <v>#N/A Invalid Security</v>
          </cell>
          <cell r="Y10" t="str">
            <v>#N/A Invalid Security</v>
          </cell>
          <cell r="Z10" t="str">
            <v>#N/A Invalid Security</v>
          </cell>
          <cell r="AA10" t="str">
            <v>#N/A Invalid Security</v>
          </cell>
          <cell r="AB10" t="e">
            <v>#VALUE!</v>
          </cell>
          <cell r="AF10" t="e">
            <v>#VALUE!</v>
          </cell>
          <cell r="AG10" t="str">
            <v>#N/A Invalid Security</v>
          </cell>
          <cell r="AH10" t="e">
            <v>#VALUE!</v>
          </cell>
        </row>
        <row r="12">
          <cell r="D12">
            <v>19.41</v>
          </cell>
          <cell r="E12">
            <v>121.467</v>
          </cell>
          <cell r="F12">
            <v>597.45899999999995</v>
          </cell>
          <cell r="G12">
            <v>1140.0999999999999</v>
          </cell>
          <cell r="H12">
            <v>1281.2670000000001</v>
          </cell>
          <cell r="I12">
            <v>873.26599999999996</v>
          </cell>
          <cell r="J12">
            <v>747.66700000000003</v>
          </cell>
          <cell r="K12">
            <v>925.529</v>
          </cell>
          <cell r="L12">
            <v>925.529</v>
          </cell>
          <cell r="M12">
            <v>1269.5</v>
          </cell>
          <cell r="N12">
            <v>1638.6670000000001</v>
          </cell>
          <cell r="R12">
            <v>-42.405999999999999</v>
          </cell>
          <cell r="S12">
            <v>164.953</v>
          </cell>
          <cell r="T12">
            <v>-310.202</v>
          </cell>
          <cell r="U12">
            <v>-41.49199999999999</v>
          </cell>
          <cell r="V12">
            <v>73.632999999999996</v>
          </cell>
          <cell r="W12">
            <v>95.378</v>
          </cell>
          <cell r="X12">
            <v>153.30600000000001</v>
          </cell>
          <cell r="Y12">
            <v>200</v>
          </cell>
          <cell r="Z12">
            <v>245</v>
          </cell>
          <cell r="AA12">
            <v>386</v>
          </cell>
          <cell r="AB12">
            <v>-7.2367623113777091E-3</v>
          </cell>
          <cell r="AF12">
            <v>2503022.2018599999</v>
          </cell>
          <cell r="AG12">
            <v>0</v>
          </cell>
          <cell r="AH12">
            <v>0</v>
          </cell>
        </row>
        <row r="13">
          <cell r="D13" t="str">
            <v>#N/A N/A</v>
          </cell>
          <cell r="E13" t="str">
            <v>#N/A N/A</v>
          </cell>
          <cell r="F13" t="str">
            <v>#N/A N/A</v>
          </cell>
          <cell r="G13">
            <v>63.901000000000003</v>
          </cell>
          <cell r="H13">
            <v>164.41200000000001</v>
          </cell>
          <cell r="I13">
            <v>1884.3009999999999</v>
          </cell>
          <cell r="J13">
            <v>2460</v>
          </cell>
          <cell r="K13">
            <v>2840.0830000000001</v>
          </cell>
          <cell r="L13">
            <v>2840.0830000000001</v>
          </cell>
          <cell r="M13">
            <v>3484</v>
          </cell>
          <cell r="N13">
            <v>3711</v>
          </cell>
          <cell r="R13" t="str">
            <v>#N/A N/A</v>
          </cell>
          <cell r="S13" t="str">
            <v>#N/A N/A</v>
          </cell>
          <cell r="T13">
            <v>1.3109999999999999</v>
          </cell>
          <cell r="U13">
            <v>13.891</v>
          </cell>
          <cell r="V13">
            <v>722.36900000000003</v>
          </cell>
          <cell r="W13">
            <v>987.4</v>
          </cell>
          <cell r="X13">
            <v>1084.636</v>
          </cell>
          <cell r="Y13">
            <v>1188</v>
          </cell>
          <cell r="Z13">
            <v>1383</v>
          </cell>
          <cell r="AA13">
            <v>1484</v>
          </cell>
          <cell r="AB13" t="e">
            <v>#VALUE!</v>
          </cell>
          <cell r="AF13">
            <v>6065596.502460001</v>
          </cell>
          <cell r="AG13">
            <v>0</v>
          </cell>
          <cell r="AH13">
            <v>0</v>
          </cell>
        </row>
        <row r="14">
          <cell r="D14">
            <v>162.28617135990481</v>
          </cell>
          <cell r="E14">
            <v>170.08244879909776</v>
          </cell>
          <cell r="F14">
            <v>186.99698885274773</v>
          </cell>
          <cell r="G14">
            <v>228.85201444854872</v>
          </cell>
          <cell r="H14">
            <v>267.86714872359329</v>
          </cell>
          <cell r="I14">
            <v>309.8903840359863</v>
          </cell>
          <cell r="J14">
            <v>334.41200000000003</v>
          </cell>
          <cell r="K14">
            <v>383.60599999999999</v>
          </cell>
          <cell r="L14">
            <v>383.60599999999999</v>
          </cell>
          <cell r="M14">
            <v>559.14599999999996</v>
          </cell>
          <cell r="N14">
            <v>624.55799999999999</v>
          </cell>
          <cell r="R14">
            <v>29.610900864533182</v>
          </cell>
          <cell r="S14">
            <v>41.164861619069249</v>
          </cell>
          <cell r="T14">
            <v>50.387071112575867</v>
          </cell>
          <cell r="U14">
            <v>44.154391920268566</v>
          </cell>
          <cell r="V14">
            <v>50.810673865580831</v>
          </cell>
          <cell r="W14">
            <v>46.506</v>
          </cell>
          <cell r="X14">
            <v>62.456000000000003</v>
          </cell>
          <cell r="Y14">
            <v>77.42</v>
          </cell>
          <cell r="Z14">
            <v>111.56</v>
          </cell>
          <cell r="AA14">
            <v>130.37800000000001</v>
          </cell>
          <cell r="AB14">
            <v>0.14245936656825076</v>
          </cell>
          <cell r="AF14">
            <v>397018.32837</v>
          </cell>
          <cell r="AG14" t="str">
            <v>#N/A N/A</v>
          </cell>
          <cell r="AH14" t="e">
            <v>#VALUE!</v>
          </cell>
        </row>
        <row r="15">
          <cell r="D15">
            <v>261.0880384881321</v>
          </cell>
          <cell r="E15">
            <v>375.7651779728115</v>
          </cell>
          <cell r="F15">
            <v>518.7585912216972</v>
          </cell>
          <cell r="G15">
            <v>1319.0511204533695</v>
          </cell>
          <cell r="H15">
            <v>1856.7172882308623</v>
          </cell>
          <cell r="I15">
            <v>2450.3012978888014</v>
          </cell>
          <cell r="J15">
            <v>1805.7850000000001</v>
          </cell>
          <cell r="K15">
            <v>1527.2629999999999</v>
          </cell>
          <cell r="L15">
            <v>1527.2629999999999</v>
          </cell>
          <cell r="M15">
            <v>1605.9780000000001</v>
          </cell>
          <cell r="N15">
            <v>1145.309</v>
          </cell>
          <cell r="R15">
            <v>172.78725854657284</v>
          </cell>
          <cell r="S15">
            <v>245.66976447831081</v>
          </cell>
          <cell r="T15">
            <v>680.62279578641642</v>
          </cell>
          <cell r="U15">
            <v>805.55632765129133</v>
          </cell>
          <cell r="V15">
            <v>1002.5483635215039</v>
          </cell>
          <cell r="W15">
            <v>590.03200000000004</v>
          </cell>
          <cell r="X15">
            <v>433.28800000000001</v>
          </cell>
          <cell r="Y15">
            <v>400.97800000000001</v>
          </cell>
          <cell r="Z15">
            <v>388.28100000000001</v>
          </cell>
          <cell r="AA15" t="str">
            <v>#N/A N/A</v>
          </cell>
          <cell r="AB15">
            <v>0.67055738942251386</v>
          </cell>
          <cell r="AF15">
            <v>200275723.824</v>
          </cell>
          <cell r="AG15">
            <v>1309</v>
          </cell>
          <cell r="AH15">
            <v>9.341944319700932E-3</v>
          </cell>
        </row>
        <row r="16">
          <cell r="D16" t="str">
            <v>#N/A Invalid Security</v>
          </cell>
          <cell r="E16" t="str">
            <v>#N/A Invalid Security</v>
          </cell>
          <cell r="F16" t="str">
            <v>#N/A Invalid Security</v>
          </cell>
          <cell r="G16" t="str">
            <v>#N/A Invalid Security</v>
          </cell>
          <cell r="H16" t="str">
            <v>#N/A Invalid Security</v>
          </cell>
          <cell r="I16" t="str">
            <v>#N/A Invalid Security</v>
          </cell>
          <cell r="J16" t="str">
            <v>#N/A Invalid Security</v>
          </cell>
          <cell r="K16" t="str">
            <v>#N/A Invalid Security</v>
          </cell>
          <cell r="L16" t="str">
            <v>#N/A Invalid Security</v>
          </cell>
          <cell r="M16" t="str">
            <v>#N/A Invalid Security</v>
          </cell>
          <cell r="N16" t="str">
            <v>#N/A Invalid Security</v>
          </cell>
          <cell r="R16" t="str">
            <v>#N/A Invalid Security</v>
          </cell>
          <cell r="S16" t="str">
            <v>#N/A Invalid Security</v>
          </cell>
          <cell r="T16" t="str">
            <v>#N/A Invalid Security</v>
          </cell>
          <cell r="U16" t="str">
            <v>#N/A Invalid Security</v>
          </cell>
          <cell r="V16" t="str">
            <v>#N/A Invalid Security</v>
          </cell>
          <cell r="W16" t="str">
            <v>#N/A Invalid Security</v>
          </cell>
          <cell r="X16" t="str">
            <v>#N/A Invalid Security</v>
          </cell>
          <cell r="Y16" t="str">
            <v>#N/A Invalid Security</v>
          </cell>
          <cell r="Z16" t="str">
            <v>#N/A Invalid Security</v>
          </cell>
          <cell r="AA16" t="str">
            <v>#N/A Invalid Security</v>
          </cell>
          <cell r="AB16" t="e">
            <v>#VALUE!</v>
          </cell>
          <cell r="AF16" t="e">
            <v>#VALUE!</v>
          </cell>
          <cell r="AG16" t="str">
            <v>#N/A Invalid Security</v>
          </cell>
          <cell r="AH16" t="e">
            <v>#VALUE!</v>
          </cell>
        </row>
        <row r="17">
          <cell r="D17" t="str">
            <v>#N/A Invalid Security</v>
          </cell>
          <cell r="E17" t="str">
            <v>#N/A Invalid Security</v>
          </cell>
          <cell r="F17" t="str">
            <v>#N/A Invalid Security</v>
          </cell>
          <cell r="G17" t="str">
            <v>#N/A Invalid Security</v>
          </cell>
          <cell r="H17" t="str">
            <v>#N/A Invalid Security</v>
          </cell>
          <cell r="I17" t="str">
            <v>#N/A Invalid Security</v>
          </cell>
          <cell r="J17" t="str">
            <v>#N/A Invalid Security</v>
          </cell>
          <cell r="K17" t="str">
            <v>#N/A Invalid Security</v>
          </cell>
          <cell r="L17" t="str">
            <v>#N/A Invalid Security</v>
          </cell>
          <cell r="M17" t="str">
            <v>#N/A Invalid Security</v>
          </cell>
          <cell r="N17" t="str">
            <v>#N/A Invalid Security</v>
          </cell>
          <cell r="R17" t="str">
            <v>#N/A Invalid Security</v>
          </cell>
          <cell r="S17" t="str">
            <v>#N/A Invalid Security</v>
          </cell>
          <cell r="T17" t="str">
            <v>#N/A Invalid Security</v>
          </cell>
          <cell r="U17" t="str">
            <v>#N/A Invalid Security</v>
          </cell>
          <cell r="V17" t="str">
            <v>#N/A Invalid Security</v>
          </cell>
          <cell r="W17" t="str">
            <v>#N/A Invalid Security</v>
          </cell>
          <cell r="X17" t="str">
            <v>#N/A Invalid Security</v>
          </cell>
          <cell r="Y17" t="str">
            <v>#N/A Invalid Security</v>
          </cell>
          <cell r="Z17" t="str">
            <v>#N/A Invalid Security</v>
          </cell>
          <cell r="AA17" t="str">
            <v>#N/A Invalid Security</v>
          </cell>
          <cell r="AB17" t="e">
            <v>#VALUE!</v>
          </cell>
          <cell r="AF17" t="e">
            <v>#VALUE!</v>
          </cell>
          <cell r="AG17" t="str">
            <v>#N/A Invalid Security</v>
          </cell>
          <cell r="AH17" t="e">
            <v>#VALUE!</v>
          </cell>
        </row>
        <row r="19">
          <cell r="D19">
            <v>1029.8403723984302</v>
          </cell>
          <cell r="E19">
            <v>1820.9365860580831</v>
          </cell>
          <cell r="F19">
            <v>2902.9718645357884</v>
          </cell>
          <cell r="G19">
            <v>4409.6938286090162</v>
          </cell>
          <cell r="H19">
            <v>6956.6486040022592</v>
          </cell>
          <cell r="I19">
            <v>9830.7988923554713</v>
          </cell>
          <cell r="J19">
            <v>12811.264999999999</v>
          </cell>
          <cell r="K19">
            <v>15692.869000000001</v>
          </cell>
          <cell r="L19">
            <v>15692.869000000001</v>
          </cell>
          <cell r="M19">
            <v>24358.607</v>
          </cell>
          <cell r="N19" t="str">
            <v>#N/A N/A</v>
          </cell>
          <cell r="R19">
            <v>939.08387653132615</v>
          </cell>
          <cell r="S19">
            <v>1534.1378260211868</v>
          </cell>
          <cell r="T19">
            <v>2066.9559695612302</v>
          </cell>
          <cell r="U19">
            <v>2784.5208256883543</v>
          </cell>
          <cell r="V19">
            <v>3396.5437012306138</v>
          </cell>
          <cell r="W19">
            <v>5211.25</v>
          </cell>
          <cell r="X19">
            <v>6626.7390000000005</v>
          </cell>
          <cell r="Y19">
            <v>8319.4249999999993</v>
          </cell>
          <cell r="Z19">
            <v>11043.844999999999</v>
          </cell>
          <cell r="AA19" t="str">
            <v>#N/A N/A</v>
          </cell>
          <cell r="AB19">
            <v>0.43664245195411877</v>
          </cell>
          <cell r="AF19">
            <v>1209679018.1815999</v>
          </cell>
          <cell r="AG19">
            <v>9035</v>
          </cell>
          <cell r="AH19">
            <v>9.7168096666598938E-3</v>
          </cell>
        </row>
        <row r="20">
          <cell r="D20">
            <v>390.14096545729814</v>
          </cell>
          <cell r="E20">
            <v>551.85489043903453</v>
          </cell>
          <cell r="F20">
            <v>797.14999601689271</v>
          </cell>
          <cell r="G20">
            <v>1100.5529686013285</v>
          </cell>
          <cell r="H20">
            <v>1358.8370913569654</v>
          </cell>
          <cell r="I20">
            <v>1594.0594824729067</v>
          </cell>
          <cell r="J20">
            <v>1609.6100000000001</v>
          </cell>
          <cell r="K20">
            <v>1700.848</v>
          </cell>
          <cell r="L20">
            <v>1700.848</v>
          </cell>
          <cell r="M20" t="str">
            <v>#N/A N/A</v>
          </cell>
          <cell r="N20" t="str">
            <v>#N/A N/A</v>
          </cell>
          <cell r="R20">
            <v>295.29565571541917</v>
          </cell>
          <cell r="S20">
            <v>445.15471324266315</v>
          </cell>
          <cell r="T20">
            <v>598.98380097457846</v>
          </cell>
          <cell r="U20">
            <v>718.72582290071807</v>
          </cell>
          <cell r="V20">
            <v>664.56943017438039</v>
          </cell>
          <cell r="W20">
            <v>660.44600000000003</v>
          </cell>
          <cell r="X20">
            <v>691.76400000000001</v>
          </cell>
          <cell r="Y20">
            <v>722.553</v>
          </cell>
          <cell r="Z20" t="str">
            <v>#N/A N/A</v>
          </cell>
          <cell r="AA20" t="str">
            <v>#N/A N/A</v>
          </cell>
          <cell r="AB20">
            <v>0.34514384982297752</v>
          </cell>
          <cell r="AF20">
            <v>428416724.59999996</v>
          </cell>
          <cell r="AG20">
            <v>42137</v>
          </cell>
          <cell r="AH20">
            <v>0.12919209579253976</v>
          </cell>
        </row>
        <row r="21">
          <cell r="D21" t="str">
            <v>#N/A Invalid Security</v>
          </cell>
          <cell r="E21" t="str">
            <v>#N/A Invalid Security</v>
          </cell>
          <cell r="F21" t="str">
            <v>#N/A Invalid Security</v>
          </cell>
          <cell r="G21" t="str">
            <v>#N/A Invalid Security</v>
          </cell>
          <cell r="H21" t="str">
            <v>#N/A Invalid Security</v>
          </cell>
          <cell r="I21" t="str">
            <v>#N/A Invalid Security</v>
          </cell>
          <cell r="J21" t="str">
            <v>#N/A Invalid Security</v>
          </cell>
          <cell r="K21" t="str">
            <v>#N/A Invalid Security</v>
          </cell>
          <cell r="L21" t="str">
            <v>#N/A Invalid Security</v>
          </cell>
          <cell r="M21" t="str">
            <v>#N/A Invalid Security</v>
          </cell>
          <cell r="N21" t="str">
            <v>#N/A Invalid Security</v>
          </cell>
          <cell r="R21" t="str">
            <v>#N/A Invalid Security</v>
          </cell>
          <cell r="S21" t="str">
            <v>#N/A Invalid Security</v>
          </cell>
          <cell r="T21" t="str">
            <v>#N/A Invalid Security</v>
          </cell>
          <cell r="U21" t="str">
            <v>#N/A Invalid Security</v>
          </cell>
          <cell r="V21" t="str">
            <v>#N/A Invalid Security</v>
          </cell>
          <cell r="W21" t="str">
            <v>#N/A Invalid Security</v>
          </cell>
          <cell r="X21" t="str">
            <v>#N/A Invalid Security</v>
          </cell>
          <cell r="Y21" t="str">
            <v>#N/A Invalid Security</v>
          </cell>
          <cell r="Z21" t="str">
            <v>#N/A Invalid Security</v>
          </cell>
          <cell r="AA21" t="str">
            <v>#N/A Invalid Security</v>
          </cell>
          <cell r="AB21" t="e">
            <v>#VALUE!</v>
          </cell>
          <cell r="AF21" t="e">
            <v>#VALUE!</v>
          </cell>
          <cell r="AG21" t="str">
            <v>#N/A Invalid Security</v>
          </cell>
          <cell r="AH21" t="e">
            <v>#VALUE!</v>
          </cell>
        </row>
        <row r="22">
          <cell r="D22" t="str">
            <v>#N/A Invalid Security</v>
          </cell>
          <cell r="E22" t="str">
            <v>#N/A Invalid Security</v>
          </cell>
          <cell r="F22" t="str">
            <v>#N/A Invalid Security</v>
          </cell>
          <cell r="G22" t="str">
            <v>#N/A Invalid Security</v>
          </cell>
          <cell r="H22" t="str">
            <v>#N/A Invalid Security</v>
          </cell>
          <cell r="I22" t="str">
            <v>#N/A Invalid Security</v>
          </cell>
          <cell r="J22" t="str">
            <v>#N/A Invalid Security</v>
          </cell>
          <cell r="K22" t="str">
            <v>#N/A Invalid Security</v>
          </cell>
          <cell r="L22" t="str">
            <v>#N/A Invalid Security</v>
          </cell>
          <cell r="M22" t="str">
            <v>#N/A Invalid Security</v>
          </cell>
          <cell r="N22" t="str">
            <v>#N/A Invalid Security</v>
          </cell>
          <cell r="R22" t="str">
            <v>#N/A Invalid Security</v>
          </cell>
          <cell r="S22" t="str">
            <v>#N/A Invalid Security</v>
          </cell>
          <cell r="T22" t="str">
            <v>#N/A Invalid Security</v>
          </cell>
          <cell r="U22" t="str">
            <v>#N/A Invalid Security</v>
          </cell>
          <cell r="V22" t="str">
            <v>#N/A Invalid Security</v>
          </cell>
          <cell r="W22" t="str">
            <v>#N/A Invalid Security</v>
          </cell>
          <cell r="X22" t="str">
            <v>#N/A Invalid Security</v>
          </cell>
          <cell r="Y22" t="str">
            <v>#N/A Invalid Security</v>
          </cell>
          <cell r="Z22" t="str">
            <v>#N/A Invalid Security</v>
          </cell>
          <cell r="AA22" t="str">
            <v>#N/A Invalid Security</v>
          </cell>
          <cell r="AB22" t="e">
            <v>#VALUE!</v>
          </cell>
          <cell r="AF22" t="e">
            <v>#VALUE!</v>
          </cell>
          <cell r="AG22" t="str">
            <v>#N/A Invalid Security</v>
          </cell>
          <cell r="AH22" t="e">
            <v>#VALUE!</v>
          </cell>
        </row>
        <row r="24">
          <cell r="D24">
            <v>14684.034249539716</v>
          </cell>
          <cell r="E24">
            <v>18371.153963073441</v>
          </cell>
          <cell r="F24">
            <v>15467.813947774936</v>
          </cell>
          <cell r="G24">
            <v>11869.037938899592</v>
          </cell>
          <cell r="H24">
            <v>8208.1805936976161</v>
          </cell>
          <cell r="I24">
            <v>7690.0203554510026</v>
          </cell>
          <cell r="J24">
            <v>5755.9059999999999</v>
          </cell>
          <cell r="K24">
            <v>5362.28</v>
          </cell>
          <cell r="L24">
            <v>5362.28</v>
          </cell>
          <cell r="M24">
            <v>5032.241</v>
          </cell>
          <cell r="N24">
            <v>4862.9650000000001</v>
          </cell>
          <cell r="R24">
            <v>5629.0336743533308</v>
          </cell>
          <cell r="S24">
            <v>3921.66746910136</v>
          </cell>
          <cell r="T24">
            <v>2081.2896777645383</v>
          </cell>
          <cell r="U24">
            <v>-314.27101928492425</v>
          </cell>
          <cell r="V24">
            <v>-287.70620770155375</v>
          </cell>
          <cell r="W24">
            <v>-217.405</v>
          </cell>
          <cell r="X24">
            <v>321.85399999999998</v>
          </cell>
          <cell r="Y24">
            <v>350.03100000000001</v>
          </cell>
          <cell r="Z24">
            <v>484.387</v>
          </cell>
          <cell r="AA24">
            <v>91.701000000000008</v>
          </cell>
          <cell r="AB24">
            <v>-1.3821995421452367</v>
          </cell>
          <cell r="AF24">
            <v>1590234525.0000002</v>
          </cell>
          <cell r="AG24">
            <v>0</v>
          </cell>
          <cell r="AH24">
            <v>0</v>
          </cell>
        </row>
        <row r="25">
          <cell r="D25">
            <v>60420</v>
          </cell>
          <cell r="E25">
            <v>58437</v>
          </cell>
          <cell r="F25">
            <v>62484</v>
          </cell>
          <cell r="G25">
            <v>69943</v>
          </cell>
          <cell r="H25">
            <v>73723</v>
          </cell>
          <cell r="I25">
            <v>77849</v>
          </cell>
          <cell r="J25">
            <v>86458.87</v>
          </cell>
          <cell r="K25">
            <v>99618.69</v>
          </cell>
          <cell r="L25">
            <v>99618.69</v>
          </cell>
          <cell r="M25">
            <v>109875</v>
          </cell>
          <cell r="N25">
            <v>104446</v>
          </cell>
          <cell r="R25">
            <v>23255</v>
          </cell>
          <cell r="S25">
            <v>26830</v>
          </cell>
          <cell r="T25">
            <v>29927</v>
          </cell>
          <cell r="U25">
            <v>30923</v>
          </cell>
          <cell r="V25">
            <v>30519</v>
          </cell>
          <cell r="W25">
            <v>31935.125</v>
          </cell>
          <cell r="X25">
            <v>34080.556000000004</v>
          </cell>
          <cell r="Y25">
            <v>37820.444000000003</v>
          </cell>
          <cell r="Z25">
            <v>39029.25</v>
          </cell>
          <cell r="AA25">
            <v>36460</v>
          </cell>
          <cell r="AB25">
            <v>9.9651553751358479E-2</v>
          </cell>
          <cell r="AF25">
            <v>357402617.2379961</v>
          </cell>
          <cell r="AG25">
            <v>22645</v>
          </cell>
          <cell r="AH25">
            <v>7.7161793418499061E-2</v>
          </cell>
        </row>
        <row r="26">
          <cell r="D26">
            <v>77891.865286381581</v>
          </cell>
          <cell r="E26">
            <v>77236.588889113671</v>
          </cell>
          <cell r="F26">
            <v>77793.852250731507</v>
          </cell>
          <cell r="G26">
            <v>84029.399944392964</v>
          </cell>
          <cell r="H26">
            <v>82293.356199262082</v>
          </cell>
          <cell r="I26">
            <v>82305.432648522255</v>
          </cell>
          <cell r="J26">
            <v>75422.213000000003</v>
          </cell>
          <cell r="K26">
            <v>75257.81</v>
          </cell>
          <cell r="L26">
            <v>75257.81</v>
          </cell>
          <cell r="M26">
            <v>77596.312999999995</v>
          </cell>
          <cell r="N26">
            <v>83665.286999999997</v>
          </cell>
          <cell r="R26">
            <v>1775.1442183763859</v>
          </cell>
          <cell r="S26">
            <v>4343.4301803439139</v>
          </cell>
          <cell r="T26">
            <v>6145.3099566881683</v>
          </cell>
          <cell r="U26">
            <v>3197.8283387084248</v>
          </cell>
          <cell r="V26">
            <v>6785.1611564677114</v>
          </cell>
          <cell r="W26">
            <v>3921.2820000000002</v>
          </cell>
          <cell r="X26">
            <v>4879.0330000000004</v>
          </cell>
          <cell r="Y26">
            <v>6581.5730000000003</v>
          </cell>
          <cell r="Z26">
            <v>6897.95</v>
          </cell>
          <cell r="AA26">
            <v>7538.2570000000005</v>
          </cell>
          <cell r="AB26">
            <v>0.21676628698033173</v>
          </cell>
          <cell r="AF26">
            <v>1949444099.622</v>
          </cell>
          <cell r="AG26">
            <v>1063145</v>
          </cell>
          <cell r="AH26">
            <v>0.53122266341540891</v>
          </cell>
        </row>
        <row r="27">
          <cell r="D27" t="str">
            <v>#N/A Invalid Security</v>
          </cell>
          <cell r="E27" t="str">
            <v>#N/A Invalid Security</v>
          </cell>
          <cell r="F27" t="str">
            <v>#N/A Invalid Security</v>
          </cell>
          <cell r="G27" t="str">
            <v>#N/A Invalid Security</v>
          </cell>
          <cell r="H27" t="str">
            <v>#N/A Invalid Security</v>
          </cell>
          <cell r="I27" t="str">
            <v>#N/A Invalid Security</v>
          </cell>
          <cell r="J27" t="str">
            <v>#N/A Invalid Security</v>
          </cell>
          <cell r="K27" t="str">
            <v>#N/A Invalid Security</v>
          </cell>
          <cell r="L27" t="str">
            <v>#N/A Invalid Security</v>
          </cell>
          <cell r="M27" t="str">
            <v>#N/A Invalid Security</v>
          </cell>
          <cell r="N27" t="str">
            <v>#N/A Invalid Security</v>
          </cell>
          <cell r="R27" t="str">
            <v>#N/A Invalid Security</v>
          </cell>
          <cell r="S27" t="str">
            <v>#N/A Invalid Security</v>
          </cell>
          <cell r="T27" t="str">
            <v>#N/A Invalid Security</v>
          </cell>
          <cell r="U27" t="str">
            <v>#N/A Invalid Security</v>
          </cell>
          <cell r="V27" t="str">
            <v>#N/A Invalid Security</v>
          </cell>
          <cell r="W27" t="str">
            <v>#N/A Invalid Security</v>
          </cell>
          <cell r="X27" t="str">
            <v>#N/A Invalid Security</v>
          </cell>
          <cell r="Y27" t="str">
            <v>#N/A Invalid Security</v>
          </cell>
          <cell r="Z27" t="str">
            <v>#N/A Invalid Security</v>
          </cell>
          <cell r="AA27" t="str">
            <v>#N/A Invalid Security</v>
          </cell>
          <cell r="AB27" t="e">
            <v>#VALUE!</v>
          </cell>
          <cell r="AF27" t="e">
            <v>#VALUE!</v>
          </cell>
          <cell r="AG27" t="str">
            <v>#N/A Invalid Security</v>
          </cell>
          <cell r="AH27" t="e">
            <v>#VALUE!</v>
          </cell>
        </row>
        <row r="29">
          <cell r="D29">
            <v>21795.55</v>
          </cell>
          <cell r="E29">
            <v>23650.562999999998</v>
          </cell>
          <cell r="F29">
            <v>29321</v>
          </cell>
          <cell r="G29">
            <v>37905</v>
          </cell>
          <cell r="H29">
            <v>50175</v>
          </cell>
          <cell r="I29">
            <v>59825</v>
          </cell>
          <cell r="J29">
            <v>53014.675999999999</v>
          </cell>
          <cell r="K29">
            <v>63426.059000000001</v>
          </cell>
          <cell r="L29">
            <v>63426.059000000001</v>
          </cell>
          <cell r="M29">
            <v>83775.199999999997</v>
          </cell>
          <cell r="N29">
            <v>94915.125</v>
          </cell>
          <cell r="R29">
            <v>9836.4939999999988</v>
          </cell>
          <cell r="S29">
            <v>11777</v>
          </cell>
          <cell r="T29">
            <v>13593</v>
          </cell>
          <cell r="U29">
            <v>15722</v>
          </cell>
          <cell r="V29">
            <v>17905</v>
          </cell>
          <cell r="W29">
            <v>26154.543000000001</v>
          </cell>
          <cell r="X29">
            <v>31406.085999999999</v>
          </cell>
          <cell r="Y29">
            <v>37031.582999999999</v>
          </cell>
          <cell r="Z29">
            <v>42778.444000000003</v>
          </cell>
          <cell r="AA29">
            <v>48927</v>
          </cell>
          <cell r="AB29">
            <v>0.16920093374132916</v>
          </cell>
          <cell r="AF29">
            <v>391056711.45661998</v>
          </cell>
          <cell r="AG29">
            <v>5241</v>
          </cell>
          <cell r="AH29">
            <v>1.5811342806920588E-2</v>
          </cell>
        </row>
        <row r="30">
          <cell r="D30">
            <v>37491</v>
          </cell>
          <cell r="E30">
            <v>42905</v>
          </cell>
          <cell r="F30">
            <v>65225</v>
          </cell>
          <cell r="G30">
            <v>108249</v>
          </cell>
          <cell r="H30">
            <v>156508</v>
          </cell>
          <cell r="I30">
            <v>170910</v>
          </cell>
          <cell r="J30">
            <v>180253.06299999999</v>
          </cell>
          <cell r="K30">
            <v>196756.68799999999</v>
          </cell>
          <cell r="L30">
            <v>196756.68799999999</v>
          </cell>
          <cell r="M30">
            <v>205691.5</v>
          </cell>
          <cell r="N30">
            <v>204468</v>
          </cell>
          <cell r="R30">
            <v>12474</v>
          </cell>
          <cell r="S30">
            <v>19412</v>
          </cell>
          <cell r="T30">
            <v>35604</v>
          </cell>
          <cell r="U30">
            <v>58518</v>
          </cell>
          <cell r="V30">
            <v>55756</v>
          </cell>
          <cell r="W30">
            <v>59728.529000000002</v>
          </cell>
          <cell r="X30">
            <v>64805.940999999999</v>
          </cell>
          <cell r="Y30">
            <v>70473.5</v>
          </cell>
          <cell r="Z30" t="str">
            <v>#N/A N/A</v>
          </cell>
          <cell r="AA30" t="str">
            <v>#N/A N/A</v>
          </cell>
          <cell r="AB30">
            <v>0.67402232288981745</v>
          </cell>
          <cell r="AF30">
            <v>575074746.68000007</v>
          </cell>
          <cell r="AG30">
            <v>31040</v>
          </cell>
          <cell r="AH30">
            <v>7.0765662300295754E-2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PPT (Output)"/>
      <sheetName val="Bar Chart"/>
      <sheetName val="Comps (Manual)"/>
      <sheetName val="Comps - Data Pull (BB)"/>
      <sheetName val="Comps - Pasted (BB)"/>
      <sheetName val="CAGRs - Data Pull (BB)"/>
      <sheetName val="CAGRs - Pasted (BB)"/>
    </sheetNames>
    <sheetDataSet>
      <sheetData sheetId="0" refreshError="1"/>
      <sheetData sheetId="1"/>
      <sheetData sheetId="2" refreshError="1"/>
      <sheetData sheetId="3">
        <row r="6">
          <cell r="B6" t="str">
            <v>Take Two Interactive</v>
          </cell>
        </row>
      </sheetData>
      <sheetData sheetId="4">
        <row r="6">
          <cell r="AF6" t="e">
            <v>#NAME?</v>
          </cell>
          <cell r="AG6" t="e">
            <v>#NAME?</v>
          </cell>
          <cell r="AI6" t="e">
            <v>#NAME?</v>
          </cell>
          <cell r="AL6" t="e">
            <v>#NAME?</v>
          </cell>
          <cell r="AM6" t="e">
            <v>#NAME?</v>
          </cell>
          <cell r="AN6" t="e">
            <v>#NAME?</v>
          </cell>
          <cell r="AO6" t="e">
            <v>#NAME?</v>
          </cell>
          <cell r="AP6" t="e">
            <v>#NAME?</v>
          </cell>
          <cell r="AQ6" t="e">
            <v>#NAME?</v>
          </cell>
          <cell r="AR6" t="e">
            <v>#NAME?</v>
          </cell>
          <cell r="AS6" t="e">
            <v>#NAME?</v>
          </cell>
          <cell r="AT6" t="e">
            <v>#NAME?</v>
          </cell>
          <cell r="AU6" t="e">
            <v>#NAME?</v>
          </cell>
          <cell r="BE6" t="e">
            <v>#NAME?</v>
          </cell>
          <cell r="BH6" t="e">
            <v>#NAME?</v>
          </cell>
          <cell r="BI6" t="e">
            <v>#NAME?</v>
          </cell>
          <cell r="BJ6" t="e">
            <v>#NAME?</v>
          </cell>
          <cell r="BK6" t="e">
            <v>#NAME?</v>
          </cell>
          <cell r="BL6" t="e">
            <v>#NAME?</v>
          </cell>
          <cell r="BM6" t="e">
            <v>#NAME?</v>
          </cell>
          <cell r="BN6" t="e">
            <v>#NAME?</v>
          </cell>
          <cell r="BO6" t="e">
            <v>#NAME?</v>
          </cell>
          <cell r="BP6" t="e">
            <v>#NAME?</v>
          </cell>
          <cell r="BQ6" t="e">
            <v>#NAME?</v>
          </cell>
          <cell r="BR6" t="e">
            <v>#NAME?</v>
          </cell>
          <cell r="BS6" t="e">
            <v>#NAME?</v>
          </cell>
          <cell r="BT6" t="e">
            <v>#NAME?</v>
          </cell>
          <cell r="BU6" t="e">
            <v>#NAME?</v>
          </cell>
          <cell r="BV6" t="e">
            <v>#NAME?</v>
          </cell>
          <cell r="BW6" t="e">
            <v>#NAME?</v>
          </cell>
        </row>
        <row r="7">
          <cell r="AF7" t="e">
            <v>#NAME?</v>
          </cell>
          <cell r="AG7" t="e">
            <v>#NAME?</v>
          </cell>
          <cell r="AI7" t="e">
            <v>#NAME?</v>
          </cell>
          <cell r="AL7" t="e">
            <v>#NAME?</v>
          </cell>
          <cell r="AM7" t="e">
            <v>#NAME?</v>
          </cell>
          <cell r="AN7" t="e">
            <v>#NAME?</v>
          </cell>
          <cell r="AO7" t="e">
            <v>#NAME?</v>
          </cell>
          <cell r="AP7" t="e">
            <v>#NAME?</v>
          </cell>
          <cell r="AQ7" t="e">
            <v>#NAME?</v>
          </cell>
          <cell r="AR7" t="e">
            <v>#NAME?</v>
          </cell>
          <cell r="AS7" t="e">
            <v>#NAME?</v>
          </cell>
          <cell r="AT7" t="e">
            <v>#NAME?</v>
          </cell>
          <cell r="AU7" t="e">
            <v>#NAME?</v>
          </cell>
          <cell r="BE7" t="e">
            <v>#NAME?</v>
          </cell>
          <cell r="BH7" t="e">
            <v>#NAME?</v>
          </cell>
          <cell r="BI7" t="e">
            <v>#NAME?</v>
          </cell>
          <cell r="BJ7" t="e">
            <v>#NAME?</v>
          </cell>
          <cell r="BK7" t="e">
            <v>#NAME?</v>
          </cell>
          <cell r="BL7" t="e">
            <v>#NAME?</v>
          </cell>
          <cell r="BM7" t="e">
            <v>#NAME?</v>
          </cell>
          <cell r="BN7" t="e">
            <v>#NAME?</v>
          </cell>
          <cell r="BO7" t="e">
            <v>#NAME?</v>
          </cell>
          <cell r="BP7" t="e">
            <v>#NAME?</v>
          </cell>
          <cell r="BQ7" t="e">
            <v>#NAME?</v>
          </cell>
          <cell r="BR7" t="e">
            <v>#NAME?</v>
          </cell>
          <cell r="BS7" t="e">
            <v>#NAME?</v>
          </cell>
          <cell r="BT7" t="e">
            <v>#NAME?</v>
          </cell>
          <cell r="BU7" t="e">
            <v>#NAME?</v>
          </cell>
          <cell r="BV7" t="e">
            <v>#NAME?</v>
          </cell>
          <cell r="BW7" t="e">
            <v>#NAME?</v>
          </cell>
        </row>
        <row r="8">
          <cell r="AF8" t="e">
            <v>#NAME?</v>
          </cell>
          <cell r="AG8" t="e">
            <v>#NAME?</v>
          </cell>
          <cell r="AI8" t="e">
            <v>#NAME?</v>
          </cell>
          <cell r="AL8" t="e">
            <v>#NAME?</v>
          </cell>
          <cell r="AM8" t="e">
            <v>#NAME?</v>
          </cell>
          <cell r="AN8" t="e">
            <v>#NAME?</v>
          </cell>
          <cell r="AO8" t="e">
            <v>#NAME?</v>
          </cell>
          <cell r="AP8" t="e">
            <v>#NAME?</v>
          </cell>
          <cell r="AQ8" t="e">
            <v>#NAME?</v>
          </cell>
          <cell r="AR8" t="e">
            <v>#NAME?</v>
          </cell>
          <cell r="AS8" t="e">
            <v>#NAME?</v>
          </cell>
          <cell r="AT8" t="e">
            <v>#NAME?</v>
          </cell>
          <cell r="AU8" t="e">
            <v>#NAME?</v>
          </cell>
          <cell r="BE8" t="e">
            <v>#NAME?</v>
          </cell>
          <cell r="BH8" t="e">
            <v>#NAME?</v>
          </cell>
          <cell r="BI8" t="e">
            <v>#NAME?</v>
          </cell>
          <cell r="BJ8" t="e">
            <v>#NAME?</v>
          </cell>
          <cell r="BK8" t="e">
            <v>#NAME?</v>
          </cell>
          <cell r="BL8" t="e">
            <v>#NAME?</v>
          </cell>
          <cell r="BM8" t="e">
            <v>#NAME?</v>
          </cell>
          <cell r="BN8" t="e">
            <v>#NAME?</v>
          </cell>
          <cell r="BO8" t="e">
            <v>#NAME?</v>
          </cell>
          <cell r="BP8" t="e">
            <v>#NAME?</v>
          </cell>
          <cell r="BQ8" t="e">
            <v>#NAME?</v>
          </cell>
          <cell r="BR8" t="e">
            <v>#NAME?</v>
          </cell>
          <cell r="BS8" t="e">
            <v>#NAME?</v>
          </cell>
          <cell r="BT8" t="e">
            <v>#NAME?</v>
          </cell>
          <cell r="BU8" t="e">
            <v>#NAME?</v>
          </cell>
          <cell r="BV8" t="e">
            <v>#NAME?</v>
          </cell>
          <cell r="BW8" t="e">
            <v>#NAME?</v>
          </cell>
        </row>
        <row r="9">
          <cell r="AF9" t="e">
            <v>#NAME?</v>
          </cell>
          <cell r="AG9" t="e">
            <v>#NAME?</v>
          </cell>
          <cell r="AI9" t="e">
            <v>#NAME?</v>
          </cell>
          <cell r="AL9" t="e">
            <v>#NAME?</v>
          </cell>
          <cell r="AM9" t="e">
            <v>#NAME?</v>
          </cell>
          <cell r="AN9" t="e">
            <v>#NAME?</v>
          </cell>
          <cell r="AO9" t="e">
            <v>#NAME?</v>
          </cell>
          <cell r="AP9" t="e">
            <v>#NAME?</v>
          </cell>
          <cell r="AQ9" t="e">
            <v>#NAME?</v>
          </cell>
          <cell r="AR9" t="e">
            <v>#NAME?</v>
          </cell>
          <cell r="AS9" t="e">
            <v>#NAME?</v>
          </cell>
          <cell r="AT9" t="e">
            <v>#NAME?</v>
          </cell>
          <cell r="AU9" t="e">
            <v>#NAME?</v>
          </cell>
          <cell r="BE9" t="e">
            <v>#NAME?</v>
          </cell>
          <cell r="BH9" t="e">
            <v>#NAME?</v>
          </cell>
          <cell r="BI9" t="e">
            <v>#NAME?</v>
          </cell>
          <cell r="BJ9" t="e">
            <v>#NAME?</v>
          </cell>
          <cell r="BK9" t="e">
            <v>#NAME?</v>
          </cell>
          <cell r="BL9" t="e">
            <v>#NAME?</v>
          </cell>
          <cell r="BM9" t="e">
            <v>#NAME?</v>
          </cell>
          <cell r="BN9" t="e">
            <v>#NAME?</v>
          </cell>
          <cell r="BO9" t="e">
            <v>#NAME?</v>
          </cell>
          <cell r="BP9" t="e">
            <v>#NAME?</v>
          </cell>
          <cell r="BQ9" t="e">
            <v>#NAME?</v>
          </cell>
          <cell r="BR9" t="e">
            <v>#NAME?</v>
          </cell>
          <cell r="BS9" t="e">
            <v>#NAME?</v>
          </cell>
          <cell r="BT9" t="e">
            <v>#NAME?</v>
          </cell>
          <cell r="BU9" t="e">
            <v>#NAME?</v>
          </cell>
          <cell r="BV9" t="e">
            <v>#NAME?</v>
          </cell>
          <cell r="BW9" t="e">
            <v>#NAME?</v>
          </cell>
        </row>
        <row r="10">
          <cell r="AF10" t="e">
            <v>#NAME?</v>
          </cell>
          <cell r="AG10" t="e">
            <v>#NAME?</v>
          </cell>
          <cell r="AI10" t="e">
            <v>#NAME?</v>
          </cell>
          <cell r="AL10" t="e">
            <v>#NAME?</v>
          </cell>
          <cell r="AM10" t="e">
            <v>#NAME?</v>
          </cell>
          <cell r="AN10" t="e">
            <v>#NAME?</v>
          </cell>
          <cell r="AO10" t="e">
            <v>#NAME?</v>
          </cell>
          <cell r="AP10" t="e">
            <v>#NAME?</v>
          </cell>
          <cell r="AQ10" t="e">
            <v>#NAME?</v>
          </cell>
          <cell r="AR10" t="e">
            <v>#NAME?</v>
          </cell>
          <cell r="AS10" t="e">
            <v>#NAME?</v>
          </cell>
          <cell r="AT10" t="e">
            <v>#NAME?</v>
          </cell>
          <cell r="AU10" t="e">
            <v>#NAME?</v>
          </cell>
          <cell r="BE10" t="e">
            <v>#NAME?</v>
          </cell>
          <cell r="BH10" t="e">
            <v>#NAME?</v>
          </cell>
          <cell r="BI10" t="e">
            <v>#NAME?</v>
          </cell>
          <cell r="BJ10" t="e">
            <v>#NAME?</v>
          </cell>
          <cell r="BK10" t="e">
            <v>#NAME?</v>
          </cell>
          <cell r="BL10" t="e">
            <v>#NAME?</v>
          </cell>
          <cell r="BM10" t="e">
            <v>#NAME?</v>
          </cell>
          <cell r="BN10" t="e">
            <v>#NAME?</v>
          </cell>
          <cell r="BO10" t="e">
            <v>#NAME?</v>
          </cell>
          <cell r="BP10" t="e">
            <v>#NAME?</v>
          </cell>
          <cell r="BQ10" t="e">
            <v>#NAME?</v>
          </cell>
          <cell r="BR10" t="e">
            <v>#NAME?</v>
          </cell>
          <cell r="BS10" t="e">
            <v>#NAME?</v>
          </cell>
          <cell r="BT10" t="e">
            <v>#NAME?</v>
          </cell>
          <cell r="BU10" t="e">
            <v>#NAME?</v>
          </cell>
          <cell r="BV10" t="e">
            <v>#NAME?</v>
          </cell>
          <cell r="BW10" t="e">
            <v>#NAME?</v>
          </cell>
        </row>
        <row r="11">
          <cell r="AF11" t="e">
            <v>#NAME?</v>
          </cell>
          <cell r="AG11" t="e">
            <v>#NAME?</v>
          </cell>
          <cell r="AI11" t="e">
            <v>#NAME?</v>
          </cell>
          <cell r="AL11" t="e">
            <v>#NAME?</v>
          </cell>
          <cell r="AM11" t="e">
            <v>#NAME?</v>
          </cell>
          <cell r="AN11" t="e">
            <v>#NAME?</v>
          </cell>
          <cell r="AO11" t="e">
            <v>#NAME?</v>
          </cell>
          <cell r="AP11" t="e">
            <v>#NAME?</v>
          </cell>
          <cell r="AQ11" t="e">
            <v>#NAME?</v>
          </cell>
          <cell r="AR11" t="e">
            <v>#NAME?</v>
          </cell>
          <cell r="AS11" t="e">
            <v>#NAME?</v>
          </cell>
          <cell r="AT11" t="e">
            <v>#NAME?</v>
          </cell>
          <cell r="AU11" t="e">
            <v>#NAME?</v>
          </cell>
          <cell r="BE11" t="e">
            <v>#NAME?</v>
          </cell>
          <cell r="BH11" t="e">
            <v>#NAME?</v>
          </cell>
          <cell r="BI11" t="e">
            <v>#NAME?</v>
          </cell>
          <cell r="BJ11" t="e">
            <v>#NAME?</v>
          </cell>
          <cell r="BK11" t="e">
            <v>#NAME?</v>
          </cell>
          <cell r="BL11" t="e">
            <v>#NAME?</v>
          </cell>
          <cell r="BM11" t="e">
            <v>#NAME?</v>
          </cell>
          <cell r="BN11" t="e">
            <v>#NAME?</v>
          </cell>
          <cell r="BO11" t="e">
            <v>#NAME?</v>
          </cell>
          <cell r="BP11" t="e">
            <v>#NAME?</v>
          </cell>
          <cell r="BQ11" t="e">
            <v>#NAME?</v>
          </cell>
          <cell r="BR11" t="e">
            <v>#NAME?</v>
          </cell>
          <cell r="BS11" t="e">
            <v>#NAME?</v>
          </cell>
          <cell r="BT11" t="e">
            <v>#NAME?</v>
          </cell>
          <cell r="BU11" t="e">
            <v>#NAME?</v>
          </cell>
          <cell r="BV11" t="e">
            <v>#NAME?</v>
          </cell>
          <cell r="BW11" t="e">
            <v>#NAME?</v>
          </cell>
        </row>
        <row r="12">
          <cell r="AF12" t="e">
            <v>#NAME?</v>
          </cell>
          <cell r="AG12" t="e">
            <v>#NAME?</v>
          </cell>
          <cell r="AI12" t="e">
            <v>#NAME?</v>
          </cell>
          <cell r="AL12" t="e">
            <v>#NAME?</v>
          </cell>
          <cell r="AM12" t="e">
            <v>#NAME?</v>
          </cell>
          <cell r="AN12" t="e">
            <v>#NAME?</v>
          </cell>
          <cell r="AO12" t="e">
            <v>#NAME?</v>
          </cell>
          <cell r="AP12" t="e">
            <v>#NAME?</v>
          </cell>
          <cell r="AQ12" t="e">
            <v>#NAME?</v>
          </cell>
          <cell r="AR12" t="e">
            <v>#NAME?</v>
          </cell>
          <cell r="AS12" t="e">
            <v>#NAME?</v>
          </cell>
          <cell r="AT12" t="e">
            <v>#NAME?</v>
          </cell>
          <cell r="AU12" t="e">
            <v>#NAME?</v>
          </cell>
          <cell r="BE12" t="e">
            <v>#NAME?</v>
          </cell>
          <cell r="BH12" t="e">
            <v>#NAME?</v>
          </cell>
          <cell r="BI12" t="e">
            <v>#NAME?</v>
          </cell>
          <cell r="BJ12" t="e">
            <v>#NAME?</v>
          </cell>
          <cell r="BK12" t="e">
            <v>#NAME?</v>
          </cell>
          <cell r="BL12" t="e">
            <v>#NAME?</v>
          </cell>
          <cell r="BM12" t="e">
            <v>#NAME?</v>
          </cell>
          <cell r="BN12" t="e">
            <v>#NAME?</v>
          </cell>
          <cell r="BO12" t="e">
            <v>#NAME?</v>
          </cell>
          <cell r="BP12" t="e">
            <v>#NAME?</v>
          </cell>
          <cell r="BQ12" t="e">
            <v>#NAME?</v>
          </cell>
          <cell r="BR12" t="e">
            <v>#NAME?</v>
          </cell>
          <cell r="BS12" t="e">
            <v>#NAME?</v>
          </cell>
          <cell r="BT12" t="e">
            <v>#NAME?</v>
          </cell>
          <cell r="BU12" t="e">
            <v>#NAME?</v>
          </cell>
          <cell r="BV12" t="e">
            <v>#NAME?</v>
          </cell>
          <cell r="BW12" t="e">
            <v>#NAME?</v>
          </cell>
        </row>
        <row r="14">
          <cell r="AF14" t="e">
            <v>#NAME?</v>
          </cell>
          <cell r="AG14" t="e">
            <v>#NAME?</v>
          </cell>
          <cell r="AI14" t="e">
            <v>#NAME?</v>
          </cell>
          <cell r="AL14" t="e">
            <v>#NAME?</v>
          </cell>
          <cell r="AM14" t="e">
            <v>#NAME?</v>
          </cell>
          <cell r="AN14" t="e">
            <v>#NAME?</v>
          </cell>
          <cell r="AO14" t="e">
            <v>#NAME?</v>
          </cell>
          <cell r="AP14" t="e">
            <v>#NAME?</v>
          </cell>
          <cell r="AQ14" t="e">
            <v>#NAME?</v>
          </cell>
          <cell r="AR14" t="e">
            <v>#NAME?</v>
          </cell>
          <cell r="AS14" t="e">
            <v>#NAME?</v>
          </cell>
          <cell r="AT14" t="e">
            <v>#NAME?</v>
          </cell>
          <cell r="AU14" t="e">
            <v>#NAME?</v>
          </cell>
          <cell r="BE14" t="e">
            <v>#NAME?</v>
          </cell>
          <cell r="BH14" t="e">
            <v>#NAME?</v>
          </cell>
          <cell r="BI14" t="e">
            <v>#NAME?</v>
          </cell>
          <cell r="BJ14" t="e">
            <v>#NAME?</v>
          </cell>
          <cell r="BK14" t="e">
            <v>#NAME?</v>
          </cell>
          <cell r="BL14" t="e">
            <v>#NAME?</v>
          </cell>
          <cell r="BM14" t="e">
            <v>#NAME?</v>
          </cell>
          <cell r="BN14" t="e">
            <v>#NAME?</v>
          </cell>
          <cell r="BO14" t="e">
            <v>#NAME?</v>
          </cell>
          <cell r="BP14" t="e">
            <v>#NAME?</v>
          </cell>
          <cell r="BQ14" t="e">
            <v>#NAME?</v>
          </cell>
          <cell r="BR14" t="e">
            <v>#NAME?</v>
          </cell>
          <cell r="BS14" t="e">
            <v>#NAME?</v>
          </cell>
          <cell r="BT14" t="e">
            <v>#NAME?</v>
          </cell>
          <cell r="BU14" t="e">
            <v>#NAME?</v>
          </cell>
          <cell r="BV14" t="e">
            <v>#NAME?</v>
          </cell>
          <cell r="BW14" t="e">
            <v>#NAME?</v>
          </cell>
        </row>
        <row r="15">
          <cell r="AF15" t="e">
            <v>#NAME?</v>
          </cell>
          <cell r="AG15" t="e">
            <v>#NAME?</v>
          </cell>
          <cell r="AI15" t="e">
            <v>#NAME?</v>
          </cell>
          <cell r="AL15" t="e">
            <v>#NAME?</v>
          </cell>
          <cell r="AM15" t="e">
            <v>#NAME?</v>
          </cell>
          <cell r="AN15" t="e">
            <v>#NAME?</v>
          </cell>
          <cell r="AO15" t="e">
            <v>#NAME?</v>
          </cell>
          <cell r="AP15" t="e">
            <v>#NAME?</v>
          </cell>
          <cell r="AQ15" t="e">
            <v>#NAME?</v>
          </cell>
          <cell r="AR15" t="e">
            <v>#NAME?</v>
          </cell>
          <cell r="AS15" t="e">
            <v>#NAME?</v>
          </cell>
          <cell r="AT15" t="e">
            <v>#NAME?</v>
          </cell>
          <cell r="AU15" t="e">
            <v>#NAME?</v>
          </cell>
          <cell r="BE15" t="e">
            <v>#NAME?</v>
          </cell>
          <cell r="BH15" t="e">
            <v>#NAME?</v>
          </cell>
          <cell r="BI15" t="e">
            <v>#NAME?</v>
          </cell>
          <cell r="BJ15" t="e">
            <v>#NAME?</v>
          </cell>
          <cell r="BK15" t="e">
            <v>#NAME?</v>
          </cell>
          <cell r="BL15" t="e">
            <v>#NAME?</v>
          </cell>
          <cell r="BM15" t="e">
            <v>#NAME?</v>
          </cell>
          <cell r="BN15" t="e">
            <v>#NAME?</v>
          </cell>
          <cell r="BO15" t="e">
            <v>#NAME?</v>
          </cell>
          <cell r="BP15" t="e">
            <v>#NAME?</v>
          </cell>
          <cell r="BQ15" t="e">
            <v>#NAME?</v>
          </cell>
          <cell r="BR15" t="e">
            <v>#NAME?</v>
          </cell>
          <cell r="BS15" t="e">
            <v>#NAME?</v>
          </cell>
          <cell r="BT15" t="e">
            <v>#NAME?</v>
          </cell>
          <cell r="BU15" t="e">
            <v>#NAME?</v>
          </cell>
          <cell r="BV15" t="e">
            <v>#NAME?</v>
          </cell>
          <cell r="BW15" t="e">
            <v>#NAME?</v>
          </cell>
        </row>
        <row r="16">
          <cell r="AF16" t="e">
            <v>#NAME?</v>
          </cell>
          <cell r="AG16" t="e">
            <v>#NAME?</v>
          </cell>
          <cell r="AI16" t="e">
            <v>#NAME?</v>
          </cell>
          <cell r="AL16" t="e">
            <v>#NAME?</v>
          </cell>
          <cell r="AM16" t="e">
            <v>#NAME?</v>
          </cell>
          <cell r="AN16" t="e">
            <v>#NAME?</v>
          </cell>
          <cell r="AO16" t="e">
            <v>#NAME?</v>
          </cell>
          <cell r="AP16" t="e">
            <v>#NAME?</v>
          </cell>
          <cell r="AQ16" t="e">
            <v>#NAME?</v>
          </cell>
          <cell r="AR16" t="e">
            <v>#NAME?</v>
          </cell>
          <cell r="AS16" t="e">
            <v>#NAME?</v>
          </cell>
          <cell r="AT16" t="e">
            <v>#NAME?</v>
          </cell>
          <cell r="AU16" t="e">
            <v>#NAME?</v>
          </cell>
          <cell r="BE16" t="e">
            <v>#NAME?</v>
          </cell>
          <cell r="BH16" t="e">
            <v>#NAME?</v>
          </cell>
          <cell r="BI16" t="e">
            <v>#NAME?</v>
          </cell>
          <cell r="BJ16" t="e">
            <v>#NAME?</v>
          </cell>
          <cell r="BK16" t="e">
            <v>#NAME?</v>
          </cell>
          <cell r="BL16" t="e">
            <v>#NAME?</v>
          </cell>
          <cell r="BM16" t="e">
            <v>#NAME?</v>
          </cell>
          <cell r="BN16" t="e">
            <v>#NAME?</v>
          </cell>
          <cell r="BO16" t="e">
            <v>#NAME?</v>
          </cell>
          <cell r="BP16" t="e">
            <v>#NAME?</v>
          </cell>
          <cell r="BQ16" t="e">
            <v>#NAME?</v>
          </cell>
          <cell r="BR16" t="e">
            <v>#NAME?</v>
          </cell>
          <cell r="BS16" t="e">
            <v>#NAME?</v>
          </cell>
          <cell r="BT16" t="e">
            <v>#NAME?</v>
          </cell>
          <cell r="BU16" t="e">
            <v>#NAME?</v>
          </cell>
          <cell r="BV16" t="e">
            <v>#NAME?</v>
          </cell>
          <cell r="BW16" t="e">
            <v>#NAME?</v>
          </cell>
        </row>
        <row r="17">
          <cell r="AF17" t="e">
            <v>#NAME?</v>
          </cell>
          <cell r="AG17" t="e">
            <v>#NAME?</v>
          </cell>
          <cell r="AI17" t="e">
            <v>#NAME?</v>
          </cell>
          <cell r="AL17" t="e">
            <v>#NAME?</v>
          </cell>
          <cell r="AM17" t="e">
            <v>#NAME?</v>
          </cell>
          <cell r="AN17" t="e">
            <v>#NAME?</v>
          </cell>
          <cell r="AO17" t="e">
            <v>#NAME?</v>
          </cell>
          <cell r="AP17" t="e">
            <v>#NAME?</v>
          </cell>
          <cell r="AQ17" t="e">
            <v>#NAME?</v>
          </cell>
          <cell r="AR17" t="e">
            <v>#NAME?</v>
          </cell>
          <cell r="AS17" t="e">
            <v>#NAME?</v>
          </cell>
          <cell r="AT17" t="e">
            <v>#NAME?</v>
          </cell>
          <cell r="AU17" t="e">
            <v>#NAME?</v>
          </cell>
          <cell r="BE17" t="e">
            <v>#NAME?</v>
          </cell>
          <cell r="BH17" t="e">
            <v>#NAME?</v>
          </cell>
          <cell r="BI17" t="e">
            <v>#NAME?</v>
          </cell>
          <cell r="BJ17" t="e">
            <v>#NAME?</v>
          </cell>
          <cell r="BK17" t="e">
            <v>#NAME?</v>
          </cell>
          <cell r="BL17" t="e">
            <v>#NAME?</v>
          </cell>
          <cell r="BM17" t="e">
            <v>#NAME?</v>
          </cell>
          <cell r="BN17" t="e">
            <v>#NAME?</v>
          </cell>
          <cell r="BO17" t="e">
            <v>#NAME?</v>
          </cell>
          <cell r="BP17" t="e">
            <v>#NAME?</v>
          </cell>
          <cell r="BQ17" t="e">
            <v>#NAME?</v>
          </cell>
          <cell r="BR17" t="e">
            <v>#NAME?</v>
          </cell>
          <cell r="BS17" t="e">
            <v>#NAME?</v>
          </cell>
          <cell r="BT17" t="e">
            <v>#NAME?</v>
          </cell>
          <cell r="BU17" t="e">
            <v>#NAME?</v>
          </cell>
          <cell r="BV17" t="e">
            <v>#NAME?</v>
          </cell>
          <cell r="BW17" t="e">
            <v>#NAME?</v>
          </cell>
        </row>
        <row r="18">
          <cell r="AF18" t="e">
            <v>#NAME?</v>
          </cell>
          <cell r="AG18" t="e">
            <v>#NAME?</v>
          </cell>
          <cell r="AI18" t="e">
            <v>#NAME?</v>
          </cell>
          <cell r="AL18" t="e">
            <v>#NAME?</v>
          </cell>
          <cell r="AM18" t="e">
            <v>#NAME?</v>
          </cell>
          <cell r="AN18" t="e">
            <v>#NAME?</v>
          </cell>
          <cell r="AO18" t="e">
            <v>#NAME?</v>
          </cell>
          <cell r="AP18" t="e">
            <v>#NAME?</v>
          </cell>
          <cell r="AQ18" t="e">
            <v>#NAME?</v>
          </cell>
          <cell r="AR18" t="e">
            <v>#NAME?</v>
          </cell>
          <cell r="AS18" t="e">
            <v>#NAME?</v>
          </cell>
          <cell r="AT18" t="e">
            <v>#NAME?</v>
          </cell>
          <cell r="AU18" t="e">
            <v>#NAME?</v>
          </cell>
          <cell r="BE18" t="e">
            <v>#NAME?</v>
          </cell>
          <cell r="BH18" t="e">
            <v>#NAME?</v>
          </cell>
          <cell r="BI18" t="e">
            <v>#NAME?</v>
          </cell>
          <cell r="BJ18" t="e">
            <v>#NAME?</v>
          </cell>
          <cell r="BK18" t="e">
            <v>#NAME?</v>
          </cell>
          <cell r="BL18" t="e">
            <v>#NAME?</v>
          </cell>
          <cell r="BM18" t="e">
            <v>#NAME?</v>
          </cell>
          <cell r="BN18" t="e">
            <v>#NAME?</v>
          </cell>
          <cell r="BO18" t="e">
            <v>#NAME?</v>
          </cell>
          <cell r="BP18" t="e">
            <v>#NAME?</v>
          </cell>
          <cell r="BQ18" t="e">
            <v>#NAME?</v>
          </cell>
          <cell r="BR18" t="e">
            <v>#NAME?</v>
          </cell>
          <cell r="BS18" t="e">
            <v>#NAME?</v>
          </cell>
          <cell r="BT18" t="e">
            <v>#NAME?</v>
          </cell>
          <cell r="BU18" t="e">
            <v>#NAME?</v>
          </cell>
          <cell r="BV18" t="e">
            <v>#NAME?</v>
          </cell>
          <cell r="BW18" t="e">
            <v>#NAME?</v>
          </cell>
        </row>
        <row r="19">
          <cell r="AF19" t="e">
            <v>#NAME?</v>
          </cell>
          <cell r="AG19" t="e">
            <v>#NAME?</v>
          </cell>
          <cell r="AI19" t="e">
            <v>#NAME?</v>
          </cell>
          <cell r="AL19" t="e">
            <v>#NAME?</v>
          </cell>
          <cell r="AM19" t="e">
            <v>#NAME?</v>
          </cell>
          <cell r="AN19" t="e">
            <v>#NAME?</v>
          </cell>
          <cell r="AO19" t="e">
            <v>#NAME?</v>
          </cell>
          <cell r="AP19" t="e">
            <v>#NAME?</v>
          </cell>
          <cell r="AQ19" t="e">
            <v>#NAME?</v>
          </cell>
          <cell r="AR19" t="e">
            <v>#NAME?</v>
          </cell>
          <cell r="AS19" t="e">
            <v>#NAME?</v>
          </cell>
          <cell r="AT19" t="e">
            <v>#NAME?</v>
          </cell>
          <cell r="AU19" t="e">
            <v>#NAME?</v>
          </cell>
          <cell r="BE19" t="e">
            <v>#NAME?</v>
          </cell>
          <cell r="BH19" t="e">
            <v>#NAME?</v>
          </cell>
          <cell r="BI19" t="e">
            <v>#NAME?</v>
          </cell>
          <cell r="BJ19" t="e">
            <v>#NAME?</v>
          </cell>
          <cell r="BK19" t="e">
            <v>#NAME?</v>
          </cell>
          <cell r="BL19" t="e">
            <v>#NAME?</v>
          </cell>
          <cell r="BM19" t="e">
            <v>#NAME?</v>
          </cell>
          <cell r="BN19" t="e">
            <v>#NAME?</v>
          </cell>
          <cell r="BO19" t="e">
            <v>#NAME?</v>
          </cell>
          <cell r="BP19" t="e">
            <v>#NAME?</v>
          </cell>
          <cell r="BQ19" t="e">
            <v>#NAME?</v>
          </cell>
          <cell r="BR19" t="e">
            <v>#NAME?</v>
          </cell>
          <cell r="BS19" t="e">
            <v>#NAME?</v>
          </cell>
          <cell r="BT19" t="e">
            <v>#NAME?</v>
          </cell>
          <cell r="BU19" t="e">
            <v>#NAME?</v>
          </cell>
          <cell r="BV19" t="e">
            <v>#NAME?</v>
          </cell>
          <cell r="BW19" t="e">
            <v>#NAME?</v>
          </cell>
        </row>
        <row r="21">
          <cell r="AF21" t="e">
            <v>#NAME?</v>
          </cell>
          <cell r="AG21" t="e">
            <v>#NAME?</v>
          </cell>
          <cell r="AI21" t="e">
            <v>#NAME?</v>
          </cell>
          <cell r="AL21" t="e">
            <v>#NAME?</v>
          </cell>
          <cell r="AM21" t="e">
            <v>#NAME?</v>
          </cell>
          <cell r="AN21" t="e">
            <v>#NAME?</v>
          </cell>
          <cell r="AO21" t="e">
            <v>#NAME?</v>
          </cell>
          <cell r="AP21" t="e">
            <v>#NAME?</v>
          </cell>
          <cell r="AQ21" t="e">
            <v>#NAME?</v>
          </cell>
          <cell r="AR21" t="e">
            <v>#NAME?</v>
          </cell>
          <cell r="AS21" t="e">
            <v>#NAME?</v>
          </cell>
          <cell r="AT21" t="e">
            <v>#NAME?</v>
          </cell>
          <cell r="AU21" t="e">
            <v>#NAME?</v>
          </cell>
          <cell r="BE21" t="e">
            <v>#NAME?</v>
          </cell>
          <cell r="BH21" t="e">
            <v>#NAME?</v>
          </cell>
          <cell r="BI21" t="e">
            <v>#NAME?</v>
          </cell>
          <cell r="BJ21" t="e">
            <v>#NAME?</v>
          </cell>
          <cell r="BK21" t="e">
            <v>#NAME?</v>
          </cell>
          <cell r="BL21" t="e">
            <v>#NAME?</v>
          </cell>
          <cell r="BM21" t="e">
            <v>#NAME?</v>
          </cell>
          <cell r="BN21" t="e">
            <v>#NAME?</v>
          </cell>
          <cell r="BO21" t="e">
            <v>#NAME?</v>
          </cell>
          <cell r="BP21" t="e">
            <v>#NAME?</v>
          </cell>
          <cell r="BQ21" t="e">
            <v>#NAME?</v>
          </cell>
          <cell r="BR21" t="e">
            <v>#NAME?</v>
          </cell>
          <cell r="BS21" t="e">
            <v>#NAME?</v>
          </cell>
          <cell r="BT21" t="e">
            <v>#NAME?</v>
          </cell>
          <cell r="BU21" t="e">
            <v>#NAME?</v>
          </cell>
          <cell r="BV21" t="e">
            <v>#NAME?</v>
          </cell>
          <cell r="BW21" t="e">
            <v>#NAME?</v>
          </cell>
        </row>
        <row r="22">
          <cell r="AF22" t="e">
            <v>#NAME?</v>
          </cell>
          <cell r="AG22" t="e">
            <v>#NAME?</v>
          </cell>
          <cell r="AI22" t="e">
            <v>#NAME?</v>
          </cell>
          <cell r="AL22" t="e">
            <v>#NAME?</v>
          </cell>
          <cell r="AM22" t="e">
            <v>#NAME?</v>
          </cell>
          <cell r="AN22" t="e">
            <v>#NAME?</v>
          </cell>
          <cell r="AO22" t="e">
            <v>#NAME?</v>
          </cell>
          <cell r="AP22" t="e">
            <v>#NAME?</v>
          </cell>
          <cell r="AQ22" t="e">
            <v>#NAME?</v>
          </cell>
          <cell r="AR22" t="e">
            <v>#NAME?</v>
          </cell>
          <cell r="AS22" t="e">
            <v>#NAME?</v>
          </cell>
          <cell r="AT22" t="e">
            <v>#NAME?</v>
          </cell>
          <cell r="AU22" t="e">
            <v>#NAME?</v>
          </cell>
          <cell r="BE22" t="e">
            <v>#NAME?</v>
          </cell>
          <cell r="BH22" t="e">
            <v>#NAME?</v>
          </cell>
          <cell r="BI22" t="e">
            <v>#NAME?</v>
          </cell>
          <cell r="BJ22" t="e">
            <v>#NAME?</v>
          </cell>
          <cell r="BK22" t="e">
            <v>#NAME?</v>
          </cell>
          <cell r="BL22" t="e">
            <v>#NAME?</v>
          </cell>
          <cell r="BM22" t="e">
            <v>#NAME?</v>
          </cell>
          <cell r="BN22" t="e">
            <v>#NAME?</v>
          </cell>
          <cell r="BO22" t="e">
            <v>#NAME?</v>
          </cell>
          <cell r="BP22" t="e">
            <v>#NAME?</v>
          </cell>
          <cell r="BQ22" t="e">
            <v>#NAME?</v>
          </cell>
          <cell r="BR22" t="e">
            <v>#NAME?</v>
          </cell>
          <cell r="BS22" t="e">
            <v>#NAME?</v>
          </cell>
          <cell r="BT22" t="e">
            <v>#NAME?</v>
          </cell>
          <cell r="BU22" t="e">
            <v>#NAME?</v>
          </cell>
          <cell r="BV22" t="e">
            <v>#NAME?</v>
          </cell>
          <cell r="BW22" t="e">
            <v>#NAME?</v>
          </cell>
        </row>
        <row r="23">
          <cell r="AF23" t="e">
            <v>#NAME?</v>
          </cell>
          <cell r="AG23" t="e">
            <v>#NAME?</v>
          </cell>
          <cell r="AI23" t="e">
            <v>#NAME?</v>
          </cell>
          <cell r="AL23" t="e">
            <v>#NAME?</v>
          </cell>
          <cell r="AM23" t="e">
            <v>#NAME?</v>
          </cell>
          <cell r="AN23" t="e">
            <v>#NAME?</v>
          </cell>
          <cell r="AO23" t="e">
            <v>#NAME?</v>
          </cell>
          <cell r="AP23" t="e">
            <v>#NAME?</v>
          </cell>
          <cell r="AQ23" t="e">
            <v>#NAME?</v>
          </cell>
          <cell r="AR23" t="e">
            <v>#NAME?</v>
          </cell>
          <cell r="AS23" t="e">
            <v>#NAME?</v>
          </cell>
          <cell r="AT23" t="e">
            <v>#NAME?</v>
          </cell>
          <cell r="AU23" t="e">
            <v>#NAME?</v>
          </cell>
          <cell r="BE23" t="e">
            <v>#NAME?</v>
          </cell>
          <cell r="BH23" t="e">
            <v>#NAME?</v>
          </cell>
          <cell r="BI23" t="e">
            <v>#NAME?</v>
          </cell>
          <cell r="BJ23" t="e">
            <v>#NAME?</v>
          </cell>
          <cell r="BK23" t="e">
            <v>#NAME?</v>
          </cell>
          <cell r="BL23" t="e">
            <v>#NAME?</v>
          </cell>
          <cell r="BM23" t="e">
            <v>#NAME?</v>
          </cell>
          <cell r="BN23" t="e">
            <v>#NAME?</v>
          </cell>
          <cell r="BO23" t="e">
            <v>#NAME?</v>
          </cell>
          <cell r="BP23" t="e">
            <v>#NAME?</v>
          </cell>
          <cell r="BQ23" t="e">
            <v>#NAME?</v>
          </cell>
          <cell r="BR23" t="e">
            <v>#NAME?</v>
          </cell>
          <cell r="BS23" t="e">
            <v>#NAME?</v>
          </cell>
          <cell r="BT23" t="e">
            <v>#NAME?</v>
          </cell>
          <cell r="BU23" t="e">
            <v>#NAME?</v>
          </cell>
          <cell r="BV23" t="e">
            <v>#NAME?</v>
          </cell>
          <cell r="BW23" t="e">
            <v>#NAME?</v>
          </cell>
        </row>
        <row r="24">
          <cell r="AF24" t="e">
            <v>#NAME?</v>
          </cell>
          <cell r="AG24" t="e">
            <v>#NAME?</v>
          </cell>
          <cell r="AI24" t="e">
            <v>#NAME?</v>
          </cell>
          <cell r="AL24" t="e">
            <v>#NAME?</v>
          </cell>
          <cell r="AM24" t="e">
            <v>#NAME?</v>
          </cell>
          <cell r="AN24" t="e">
            <v>#NAME?</v>
          </cell>
          <cell r="AO24" t="e">
            <v>#NAME?</v>
          </cell>
          <cell r="AP24" t="e">
            <v>#NAME?</v>
          </cell>
          <cell r="AQ24" t="e">
            <v>#NAME?</v>
          </cell>
          <cell r="AR24" t="e">
            <v>#NAME?</v>
          </cell>
          <cell r="AS24" t="e">
            <v>#NAME?</v>
          </cell>
          <cell r="AT24" t="e">
            <v>#NAME?</v>
          </cell>
          <cell r="AU24" t="e">
            <v>#NAME?</v>
          </cell>
          <cell r="BE24" t="e">
            <v>#NAME?</v>
          </cell>
          <cell r="BH24" t="e">
            <v>#NAME?</v>
          </cell>
          <cell r="BI24" t="e">
            <v>#NAME?</v>
          </cell>
          <cell r="BJ24" t="e">
            <v>#NAME?</v>
          </cell>
          <cell r="BK24" t="e">
            <v>#NAME?</v>
          </cell>
          <cell r="BL24" t="e">
            <v>#NAME?</v>
          </cell>
          <cell r="BM24" t="e">
            <v>#NAME?</v>
          </cell>
          <cell r="BN24" t="e">
            <v>#NAME?</v>
          </cell>
          <cell r="BO24" t="e">
            <v>#NAME?</v>
          </cell>
          <cell r="BP24" t="e">
            <v>#NAME?</v>
          </cell>
          <cell r="BQ24" t="e">
            <v>#NAME?</v>
          </cell>
          <cell r="BR24" t="e">
            <v>#NAME?</v>
          </cell>
          <cell r="BS24" t="e">
            <v>#NAME?</v>
          </cell>
          <cell r="BT24" t="e">
            <v>#NAME?</v>
          </cell>
          <cell r="BU24" t="e">
            <v>#NAME?</v>
          </cell>
          <cell r="BV24" t="e">
            <v>#NAME?</v>
          </cell>
          <cell r="BW24" t="e">
            <v>#NAME?</v>
          </cell>
        </row>
        <row r="26">
          <cell r="AF26" t="e">
            <v>#NAME?</v>
          </cell>
          <cell r="AG26" t="e">
            <v>#NAME?</v>
          </cell>
          <cell r="AI26" t="e">
            <v>#NAME?</v>
          </cell>
          <cell r="AL26" t="e">
            <v>#NAME?</v>
          </cell>
          <cell r="AM26" t="e">
            <v>#NAME?</v>
          </cell>
          <cell r="AN26" t="e">
            <v>#NAME?</v>
          </cell>
          <cell r="AO26" t="e">
            <v>#NAME?</v>
          </cell>
          <cell r="AP26" t="e">
            <v>#NAME?</v>
          </cell>
          <cell r="AQ26" t="e">
            <v>#NAME?</v>
          </cell>
          <cell r="AR26" t="e">
            <v>#NAME?</v>
          </cell>
          <cell r="AS26" t="e">
            <v>#NAME?</v>
          </cell>
          <cell r="AT26" t="e">
            <v>#NAME?</v>
          </cell>
          <cell r="AU26" t="e">
            <v>#NAME?</v>
          </cell>
          <cell r="BE26" t="e">
            <v>#NAME?</v>
          </cell>
          <cell r="BH26" t="e">
            <v>#NAME?</v>
          </cell>
          <cell r="BI26" t="e">
            <v>#NAME?</v>
          </cell>
          <cell r="BJ26" t="e">
            <v>#NAME?</v>
          </cell>
          <cell r="BK26" t="e">
            <v>#NAME?</v>
          </cell>
          <cell r="BL26" t="e">
            <v>#NAME?</v>
          </cell>
          <cell r="BM26" t="e">
            <v>#NAME?</v>
          </cell>
          <cell r="BN26" t="e">
            <v>#NAME?</v>
          </cell>
          <cell r="BO26" t="e">
            <v>#NAME?</v>
          </cell>
          <cell r="BP26" t="e">
            <v>#NAME?</v>
          </cell>
          <cell r="BQ26" t="e">
            <v>#NAME?</v>
          </cell>
          <cell r="BR26" t="e">
            <v>#NAME?</v>
          </cell>
          <cell r="BS26" t="e">
            <v>#NAME?</v>
          </cell>
          <cell r="BT26" t="e">
            <v>#NAME?</v>
          </cell>
          <cell r="BU26" t="e">
            <v>#NAME?</v>
          </cell>
          <cell r="BV26" t="e">
            <v>#NAME?</v>
          </cell>
          <cell r="BW26" t="e">
            <v>#NAME?</v>
          </cell>
        </row>
        <row r="27">
          <cell r="AF27" t="e">
            <v>#NAME?</v>
          </cell>
          <cell r="AG27" t="e">
            <v>#NAME?</v>
          </cell>
          <cell r="AI27" t="e">
            <v>#NAME?</v>
          </cell>
          <cell r="AL27" t="e">
            <v>#NAME?</v>
          </cell>
          <cell r="AM27" t="e">
            <v>#NAME?</v>
          </cell>
          <cell r="AN27" t="e">
            <v>#NAME?</v>
          </cell>
          <cell r="AO27" t="e">
            <v>#NAME?</v>
          </cell>
          <cell r="AP27" t="e">
            <v>#NAME?</v>
          </cell>
          <cell r="AQ27" t="e">
            <v>#NAME?</v>
          </cell>
          <cell r="AR27" t="e">
            <v>#NAME?</v>
          </cell>
          <cell r="AS27" t="e">
            <v>#NAME?</v>
          </cell>
          <cell r="AT27" t="e">
            <v>#NAME?</v>
          </cell>
          <cell r="AU27" t="e">
            <v>#NAME?</v>
          </cell>
          <cell r="BE27" t="e">
            <v>#NAME?</v>
          </cell>
          <cell r="BH27" t="e">
            <v>#NAME?</v>
          </cell>
          <cell r="BI27" t="e">
            <v>#NAME?</v>
          </cell>
          <cell r="BJ27" t="e">
            <v>#NAME?</v>
          </cell>
          <cell r="BK27" t="e">
            <v>#NAME?</v>
          </cell>
          <cell r="BL27" t="e">
            <v>#NAME?</v>
          </cell>
          <cell r="BM27" t="e">
            <v>#NAME?</v>
          </cell>
          <cell r="BN27" t="e">
            <v>#NAME?</v>
          </cell>
          <cell r="BO27" t="e">
            <v>#NAME?</v>
          </cell>
          <cell r="BP27" t="e">
            <v>#NAME?</v>
          </cell>
          <cell r="BQ27" t="e">
            <v>#NAME?</v>
          </cell>
          <cell r="BR27" t="e">
            <v>#NAME?</v>
          </cell>
          <cell r="BS27" t="e">
            <v>#NAME?</v>
          </cell>
          <cell r="BT27" t="e">
            <v>#NAME?</v>
          </cell>
          <cell r="BU27" t="e">
            <v>#NAME?</v>
          </cell>
          <cell r="BV27" t="e">
            <v>#NAME?</v>
          </cell>
          <cell r="BW27" t="e">
            <v>#NAME?</v>
          </cell>
        </row>
        <row r="28">
          <cell r="AF28" t="e">
            <v>#NAME?</v>
          </cell>
          <cell r="AG28" t="e">
            <v>#NAME?</v>
          </cell>
          <cell r="AI28" t="e">
            <v>#NAME?</v>
          </cell>
          <cell r="AL28" t="e">
            <v>#NAME?</v>
          </cell>
          <cell r="AM28" t="e">
            <v>#NAME?</v>
          </cell>
          <cell r="AN28" t="e">
            <v>#NAME?</v>
          </cell>
          <cell r="AO28" t="e">
            <v>#NAME?</v>
          </cell>
          <cell r="AP28" t="e">
            <v>#NAME?</v>
          </cell>
          <cell r="AQ28" t="e">
            <v>#NAME?</v>
          </cell>
          <cell r="AR28" t="e">
            <v>#NAME?</v>
          </cell>
          <cell r="AS28" t="e">
            <v>#NAME?</v>
          </cell>
          <cell r="AT28" t="e">
            <v>#NAME?</v>
          </cell>
          <cell r="AU28" t="e">
            <v>#NAME?</v>
          </cell>
          <cell r="BE28" t="e">
            <v>#NAME?</v>
          </cell>
          <cell r="BH28" t="e">
            <v>#NAME?</v>
          </cell>
          <cell r="BI28" t="e">
            <v>#NAME?</v>
          </cell>
          <cell r="BJ28" t="e">
            <v>#NAME?</v>
          </cell>
          <cell r="BK28" t="e">
            <v>#NAME?</v>
          </cell>
          <cell r="BL28" t="e">
            <v>#NAME?</v>
          </cell>
          <cell r="BM28" t="e">
            <v>#NAME?</v>
          </cell>
          <cell r="BN28" t="e">
            <v>#NAME?</v>
          </cell>
          <cell r="BO28" t="e">
            <v>#NAME?</v>
          </cell>
          <cell r="BP28" t="e">
            <v>#NAME?</v>
          </cell>
          <cell r="BQ28" t="e">
            <v>#NAME?</v>
          </cell>
          <cell r="BR28" t="e">
            <v>#NAME?</v>
          </cell>
          <cell r="BS28" t="e">
            <v>#NAME?</v>
          </cell>
          <cell r="BT28" t="e">
            <v>#NAME?</v>
          </cell>
          <cell r="BU28" t="e">
            <v>#NAME?</v>
          </cell>
          <cell r="BV28" t="e">
            <v>#NAME?</v>
          </cell>
          <cell r="BW28" t="e">
            <v>#NAME?</v>
          </cell>
        </row>
        <row r="29">
          <cell r="AF29" t="e">
            <v>#NAME?</v>
          </cell>
          <cell r="AG29" t="e">
            <v>#NAME?</v>
          </cell>
          <cell r="AI29" t="e">
            <v>#NAME?</v>
          </cell>
          <cell r="AL29" t="e">
            <v>#NAME?</v>
          </cell>
          <cell r="AM29" t="e">
            <v>#NAME?</v>
          </cell>
          <cell r="AN29" t="e">
            <v>#NAME?</v>
          </cell>
          <cell r="AO29" t="e">
            <v>#NAME?</v>
          </cell>
          <cell r="AP29" t="e">
            <v>#NAME?</v>
          </cell>
          <cell r="AQ29" t="e">
            <v>#NAME?</v>
          </cell>
          <cell r="AR29" t="e">
            <v>#NAME?</v>
          </cell>
          <cell r="AS29" t="e">
            <v>#NAME?</v>
          </cell>
          <cell r="AT29" t="e">
            <v>#NAME?</v>
          </cell>
          <cell r="AU29" t="e">
            <v>#NAME?</v>
          </cell>
          <cell r="BE29" t="e">
            <v>#NAME?</v>
          </cell>
          <cell r="BH29" t="e">
            <v>#NAME?</v>
          </cell>
          <cell r="BI29" t="e">
            <v>#NAME?</v>
          </cell>
          <cell r="BJ29" t="e">
            <v>#NAME?</v>
          </cell>
          <cell r="BK29" t="e">
            <v>#NAME?</v>
          </cell>
          <cell r="BL29" t="e">
            <v>#NAME?</v>
          </cell>
          <cell r="BM29" t="e">
            <v>#NAME?</v>
          </cell>
          <cell r="BN29" t="e">
            <v>#NAME?</v>
          </cell>
          <cell r="BO29" t="e">
            <v>#NAME?</v>
          </cell>
          <cell r="BP29" t="e">
            <v>#NAME?</v>
          </cell>
          <cell r="BQ29" t="e">
            <v>#NAME?</v>
          </cell>
          <cell r="BR29" t="e">
            <v>#NAME?</v>
          </cell>
          <cell r="BS29" t="e">
            <v>#NAME?</v>
          </cell>
          <cell r="BT29" t="e">
            <v>#NAME?</v>
          </cell>
          <cell r="BU29" t="e">
            <v>#NAME?</v>
          </cell>
          <cell r="BV29" t="e">
            <v>#NAME?</v>
          </cell>
          <cell r="BW29" t="e">
            <v>#NAME?</v>
          </cell>
        </row>
      </sheetData>
      <sheetData sheetId="5"/>
      <sheetData sheetId="6">
        <row r="4">
          <cell r="D4" t="e">
            <v>#NAME?</v>
          </cell>
          <cell r="E4" t="e">
            <v>#NAME?</v>
          </cell>
          <cell r="F4" t="e">
            <v>#NAME?</v>
          </cell>
          <cell r="G4" t="e">
            <v>#NAME?</v>
          </cell>
          <cell r="H4" t="e">
            <v>#NAME?</v>
          </cell>
          <cell r="I4" t="e">
            <v>#NAME?</v>
          </cell>
          <cell r="J4" t="e">
            <v>#NAME?</v>
          </cell>
          <cell r="K4" t="e">
            <v>#NAME?</v>
          </cell>
          <cell r="L4" t="e">
            <v>#NAME?</v>
          </cell>
          <cell r="M4" t="e">
            <v>#NAME?</v>
          </cell>
          <cell r="N4" t="e">
            <v>#NAME?</v>
          </cell>
          <cell r="Q4" t="e">
            <v>#NAME?</v>
          </cell>
          <cell r="R4" t="e">
            <v>#NAME?</v>
          </cell>
          <cell r="S4" t="e">
            <v>#NAME?</v>
          </cell>
          <cell r="T4" t="e">
            <v>#NAME?</v>
          </cell>
          <cell r="U4" t="e">
            <v>#NAME?</v>
          </cell>
          <cell r="V4" t="e">
            <v>#NAME?</v>
          </cell>
          <cell r="W4" t="e">
            <v>#NAME?</v>
          </cell>
          <cell r="X4" t="e">
            <v>#NAME?</v>
          </cell>
          <cell r="Y4" t="e">
            <v>#NAME?</v>
          </cell>
          <cell r="Z4" t="e">
            <v>#NAME?</v>
          </cell>
          <cell r="AA4" t="e">
            <v>#NAME?</v>
          </cell>
          <cell r="AE4" t="e">
            <v>#NAME?</v>
          </cell>
          <cell r="AF4" t="e">
            <v>#NAME?</v>
          </cell>
          <cell r="AG4" t="e">
            <v>#NAME?</v>
          </cell>
        </row>
        <row r="5">
          <cell r="D5" t="e">
            <v>#NAME?</v>
          </cell>
          <cell r="E5" t="e">
            <v>#NAME?</v>
          </cell>
          <cell r="F5" t="e">
            <v>#NAME?</v>
          </cell>
          <cell r="G5" t="e">
            <v>#NAME?</v>
          </cell>
          <cell r="H5" t="e">
            <v>#NAME?</v>
          </cell>
          <cell r="I5" t="e">
            <v>#NAME?</v>
          </cell>
          <cell r="J5" t="e">
            <v>#NAME?</v>
          </cell>
          <cell r="K5" t="e">
            <v>#NAME?</v>
          </cell>
          <cell r="L5" t="e">
            <v>#NAME?</v>
          </cell>
          <cell r="M5" t="e">
            <v>#NAME?</v>
          </cell>
          <cell r="N5" t="e">
            <v>#NAME?</v>
          </cell>
          <cell r="Q5" t="e">
            <v>#NAME?</v>
          </cell>
          <cell r="R5" t="e">
            <v>#NAME?</v>
          </cell>
          <cell r="S5" t="e">
            <v>#NAME?</v>
          </cell>
          <cell r="T5" t="e">
            <v>#NAME?</v>
          </cell>
          <cell r="U5" t="e">
            <v>#NAME?</v>
          </cell>
          <cell r="V5" t="e">
            <v>#NAME?</v>
          </cell>
          <cell r="W5" t="e">
            <v>#NAME?</v>
          </cell>
          <cell r="X5" t="e">
            <v>#NAME?</v>
          </cell>
          <cell r="Y5" t="e">
            <v>#NAME?</v>
          </cell>
          <cell r="Z5" t="e">
            <v>#NAME?</v>
          </cell>
          <cell r="AA5" t="e">
            <v>#NAME?</v>
          </cell>
          <cell r="AE5" t="e">
            <v>#NAME?</v>
          </cell>
          <cell r="AF5" t="e">
            <v>#NAME?</v>
          </cell>
          <cell r="AG5" t="e">
            <v>#NAME?</v>
          </cell>
        </row>
        <row r="6">
          <cell r="D6" t="e">
            <v>#NAME?</v>
          </cell>
          <cell r="E6" t="e">
            <v>#NAME?</v>
          </cell>
          <cell r="F6" t="e">
            <v>#NAME?</v>
          </cell>
          <cell r="G6" t="e">
            <v>#NAME?</v>
          </cell>
          <cell r="H6" t="e">
            <v>#NAME?</v>
          </cell>
          <cell r="I6" t="e">
            <v>#NAME?</v>
          </cell>
          <cell r="J6" t="e">
            <v>#NAME?</v>
          </cell>
          <cell r="K6" t="e">
            <v>#NAME?</v>
          </cell>
          <cell r="L6" t="e">
            <v>#NAME?</v>
          </cell>
          <cell r="M6" t="e">
            <v>#NAME?</v>
          </cell>
          <cell r="N6" t="e">
            <v>#NAME?</v>
          </cell>
          <cell r="Q6" t="e">
            <v>#NAME?</v>
          </cell>
          <cell r="R6" t="e">
            <v>#NAME?</v>
          </cell>
          <cell r="S6" t="e">
            <v>#NAME?</v>
          </cell>
          <cell r="T6" t="e">
            <v>#NAME?</v>
          </cell>
          <cell r="U6" t="e">
            <v>#NAME?</v>
          </cell>
          <cell r="V6" t="e">
            <v>#NAME?</v>
          </cell>
          <cell r="W6" t="e">
            <v>#NAME?</v>
          </cell>
          <cell r="X6" t="e">
            <v>#NAME?</v>
          </cell>
          <cell r="Y6" t="e">
            <v>#NAME?</v>
          </cell>
          <cell r="Z6" t="e">
            <v>#NAME?</v>
          </cell>
          <cell r="AA6" t="e">
            <v>#NAME?</v>
          </cell>
          <cell r="AE6" t="e">
            <v>#NAME?</v>
          </cell>
          <cell r="AF6" t="e">
            <v>#NAME?</v>
          </cell>
          <cell r="AG6" t="e">
            <v>#NAME?</v>
          </cell>
        </row>
        <row r="7">
          <cell r="D7" t="e">
            <v>#NAME?</v>
          </cell>
          <cell r="E7" t="e">
            <v>#NAME?</v>
          </cell>
          <cell r="F7" t="e">
            <v>#NAME?</v>
          </cell>
          <cell r="G7" t="e">
            <v>#NAME?</v>
          </cell>
          <cell r="H7" t="e">
            <v>#NAME?</v>
          </cell>
          <cell r="I7" t="e">
            <v>#NAME?</v>
          </cell>
          <cell r="J7" t="e">
            <v>#NAME?</v>
          </cell>
          <cell r="K7" t="e">
            <v>#NAME?</v>
          </cell>
          <cell r="L7" t="e">
            <v>#NAME?</v>
          </cell>
          <cell r="M7" t="e">
            <v>#NAME?</v>
          </cell>
          <cell r="N7" t="e">
            <v>#NAME?</v>
          </cell>
          <cell r="Q7" t="e">
            <v>#NAME?</v>
          </cell>
          <cell r="R7" t="e">
            <v>#NAME?</v>
          </cell>
          <cell r="S7" t="e">
            <v>#NAME?</v>
          </cell>
          <cell r="T7" t="e">
            <v>#NAME?</v>
          </cell>
          <cell r="U7" t="e">
            <v>#NAME?</v>
          </cell>
          <cell r="V7" t="e">
            <v>#NAME?</v>
          </cell>
          <cell r="W7" t="e">
            <v>#NAME?</v>
          </cell>
          <cell r="X7" t="e">
            <v>#NAME?</v>
          </cell>
          <cell r="Y7" t="e">
            <v>#NAME?</v>
          </cell>
          <cell r="Z7" t="e">
            <v>#NAME?</v>
          </cell>
          <cell r="AA7" t="e">
            <v>#NAME?</v>
          </cell>
          <cell r="AE7" t="e">
            <v>#NAME?</v>
          </cell>
          <cell r="AF7" t="e">
            <v>#NAME?</v>
          </cell>
          <cell r="AG7" t="e">
            <v>#NAME?</v>
          </cell>
        </row>
        <row r="8">
          <cell r="D8" t="e">
            <v>#NAME?</v>
          </cell>
          <cell r="E8" t="e">
            <v>#NAME?</v>
          </cell>
          <cell r="F8" t="e">
            <v>#NAME?</v>
          </cell>
          <cell r="G8" t="e">
            <v>#NAME?</v>
          </cell>
          <cell r="H8" t="e">
            <v>#NAME?</v>
          </cell>
          <cell r="I8" t="e">
            <v>#NAME?</v>
          </cell>
          <cell r="J8" t="e">
            <v>#NAME?</v>
          </cell>
          <cell r="K8" t="e">
            <v>#NAME?</v>
          </cell>
          <cell r="L8" t="e">
            <v>#NAME?</v>
          </cell>
          <cell r="M8" t="e">
            <v>#NAME?</v>
          </cell>
          <cell r="N8" t="e">
            <v>#NAME?</v>
          </cell>
          <cell r="Q8" t="e">
            <v>#NAME?</v>
          </cell>
          <cell r="R8" t="e">
            <v>#NAME?</v>
          </cell>
          <cell r="S8" t="e">
            <v>#NAME?</v>
          </cell>
          <cell r="T8" t="e">
            <v>#NAME?</v>
          </cell>
          <cell r="U8" t="e">
            <v>#NAME?</v>
          </cell>
          <cell r="V8" t="e">
            <v>#NAME?</v>
          </cell>
          <cell r="W8" t="e">
            <v>#NAME?</v>
          </cell>
          <cell r="X8" t="e">
            <v>#NAME?</v>
          </cell>
          <cell r="Y8" t="e">
            <v>#NAME?</v>
          </cell>
          <cell r="Z8" t="e">
            <v>#NAME?</v>
          </cell>
          <cell r="AA8" t="e">
            <v>#NAME?</v>
          </cell>
          <cell r="AE8" t="e">
            <v>#NAME?</v>
          </cell>
          <cell r="AF8" t="e">
            <v>#NAME?</v>
          </cell>
          <cell r="AG8" t="e">
            <v>#NAME?</v>
          </cell>
        </row>
        <row r="9">
          <cell r="D9" t="e">
            <v>#NAME?</v>
          </cell>
          <cell r="E9" t="e">
            <v>#NAME?</v>
          </cell>
          <cell r="F9" t="e">
            <v>#NAME?</v>
          </cell>
          <cell r="G9" t="e">
            <v>#NAME?</v>
          </cell>
          <cell r="H9" t="e">
            <v>#NAME?</v>
          </cell>
          <cell r="I9" t="e">
            <v>#NAME?</v>
          </cell>
          <cell r="J9" t="e">
            <v>#NAME?</v>
          </cell>
          <cell r="K9" t="e">
            <v>#NAME?</v>
          </cell>
          <cell r="L9" t="e">
            <v>#NAME?</v>
          </cell>
          <cell r="M9" t="e">
            <v>#NAME?</v>
          </cell>
          <cell r="N9" t="e">
            <v>#NAME?</v>
          </cell>
          <cell r="Q9" t="e">
            <v>#NAME?</v>
          </cell>
          <cell r="R9" t="e">
            <v>#NAME?</v>
          </cell>
          <cell r="S9" t="e">
            <v>#NAME?</v>
          </cell>
          <cell r="T9" t="e">
            <v>#NAME?</v>
          </cell>
          <cell r="U9" t="e">
            <v>#NAME?</v>
          </cell>
          <cell r="V9" t="e">
            <v>#NAME?</v>
          </cell>
          <cell r="W9" t="e">
            <v>#NAME?</v>
          </cell>
          <cell r="X9" t="e">
            <v>#NAME?</v>
          </cell>
          <cell r="Y9" t="e">
            <v>#NAME?</v>
          </cell>
          <cell r="Z9" t="e">
            <v>#NAME?</v>
          </cell>
          <cell r="AA9" t="e">
            <v>#NAME?</v>
          </cell>
          <cell r="AE9" t="e">
            <v>#NAME?</v>
          </cell>
          <cell r="AF9" t="e">
            <v>#NAME?</v>
          </cell>
          <cell r="AG9" t="e">
            <v>#NAME?</v>
          </cell>
        </row>
        <row r="10">
          <cell r="D10" t="e">
            <v>#NAME?</v>
          </cell>
          <cell r="E10" t="e">
            <v>#NAME?</v>
          </cell>
          <cell r="F10" t="e">
            <v>#NAME?</v>
          </cell>
          <cell r="G10" t="e">
            <v>#NAME?</v>
          </cell>
          <cell r="H10" t="e">
            <v>#NAME?</v>
          </cell>
          <cell r="I10" t="e">
            <v>#NAME?</v>
          </cell>
          <cell r="J10" t="e">
            <v>#NAME?</v>
          </cell>
          <cell r="K10" t="e">
            <v>#NAME?</v>
          </cell>
          <cell r="L10" t="e">
            <v>#NAME?</v>
          </cell>
          <cell r="M10" t="e">
            <v>#NAME?</v>
          </cell>
          <cell r="N10" t="e">
            <v>#NAME?</v>
          </cell>
          <cell r="Q10" t="e">
            <v>#NAME?</v>
          </cell>
          <cell r="R10" t="e">
            <v>#NAME?</v>
          </cell>
          <cell r="S10" t="e">
            <v>#NAME?</v>
          </cell>
          <cell r="T10" t="e">
            <v>#NAME?</v>
          </cell>
          <cell r="U10" t="e">
            <v>#NAME?</v>
          </cell>
          <cell r="V10" t="e">
            <v>#NAME?</v>
          </cell>
          <cell r="W10" t="e">
            <v>#NAME?</v>
          </cell>
          <cell r="X10" t="e">
            <v>#NAME?</v>
          </cell>
          <cell r="Y10" t="e">
            <v>#NAME?</v>
          </cell>
          <cell r="Z10" t="e">
            <v>#NAME?</v>
          </cell>
          <cell r="AA10" t="e">
            <v>#NAME?</v>
          </cell>
          <cell r="AE10" t="e">
            <v>#NAME?</v>
          </cell>
          <cell r="AF10" t="e">
            <v>#NAME?</v>
          </cell>
          <cell r="AG10" t="e">
            <v>#NAME?</v>
          </cell>
        </row>
        <row r="12">
          <cell r="D12" t="e">
            <v>#NAME?</v>
          </cell>
          <cell r="E12" t="e">
            <v>#NAME?</v>
          </cell>
          <cell r="F12" t="e">
            <v>#NAME?</v>
          </cell>
          <cell r="G12" t="e">
            <v>#NAME?</v>
          </cell>
          <cell r="H12" t="e">
            <v>#NAME?</v>
          </cell>
          <cell r="I12" t="e">
            <v>#NAME?</v>
          </cell>
          <cell r="J12" t="e">
            <v>#NAME?</v>
          </cell>
          <cell r="K12" t="e">
            <v>#NAME?</v>
          </cell>
          <cell r="L12" t="e">
            <v>#NAME?</v>
          </cell>
          <cell r="M12" t="e">
            <v>#NAME?</v>
          </cell>
          <cell r="N12" t="e">
            <v>#NAME?</v>
          </cell>
          <cell r="Q12" t="e">
            <v>#NAME?</v>
          </cell>
          <cell r="R12" t="e">
            <v>#NAME?</v>
          </cell>
          <cell r="S12" t="e">
            <v>#NAME?</v>
          </cell>
          <cell r="T12" t="e">
            <v>#NAME?</v>
          </cell>
          <cell r="U12" t="e">
            <v>#NAME?</v>
          </cell>
          <cell r="V12" t="e">
            <v>#NAME?</v>
          </cell>
          <cell r="W12" t="e">
            <v>#NAME?</v>
          </cell>
          <cell r="X12" t="e">
            <v>#NAME?</v>
          </cell>
          <cell r="Y12" t="e">
            <v>#NAME?</v>
          </cell>
          <cell r="Z12" t="e">
            <v>#NAME?</v>
          </cell>
          <cell r="AA12" t="e">
            <v>#NAME?</v>
          </cell>
          <cell r="AE12" t="e">
            <v>#NAME?</v>
          </cell>
          <cell r="AF12" t="e">
            <v>#NAME?</v>
          </cell>
          <cell r="AG12" t="e">
            <v>#NAME?</v>
          </cell>
        </row>
        <row r="13">
          <cell r="D13" t="e">
            <v>#NAME?</v>
          </cell>
          <cell r="E13" t="e">
            <v>#NAME?</v>
          </cell>
          <cell r="F13" t="e">
            <v>#NAME?</v>
          </cell>
          <cell r="G13" t="e">
            <v>#NAME?</v>
          </cell>
          <cell r="H13" t="e">
            <v>#NAME?</v>
          </cell>
          <cell r="I13" t="e">
            <v>#NAME?</v>
          </cell>
          <cell r="J13" t="e">
            <v>#NAME?</v>
          </cell>
          <cell r="K13" t="e">
            <v>#NAME?</v>
          </cell>
          <cell r="L13" t="e">
            <v>#NAME?</v>
          </cell>
          <cell r="M13" t="e">
            <v>#NAME?</v>
          </cell>
          <cell r="N13" t="e">
            <v>#NAME?</v>
          </cell>
          <cell r="Q13" t="e">
            <v>#NAME?</v>
          </cell>
          <cell r="R13" t="e">
            <v>#NAME?</v>
          </cell>
          <cell r="S13" t="e">
            <v>#NAME?</v>
          </cell>
          <cell r="T13" t="e">
            <v>#NAME?</v>
          </cell>
          <cell r="U13" t="e">
            <v>#NAME?</v>
          </cell>
          <cell r="V13" t="e">
            <v>#NAME?</v>
          </cell>
          <cell r="W13" t="e">
            <v>#NAME?</v>
          </cell>
          <cell r="X13" t="e">
            <v>#NAME?</v>
          </cell>
          <cell r="Y13" t="e">
            <v>#NAME?</v>
          </cell>
          <cell r="Z13" t="e">
            <v>#NAME?</v>
          </cell>
          <cell r="AA13" t="e">
            <v>#NAME?</v>
          </cell>
          <cell r="AE13" t="e">
            <v>#NAME?</v>
          </cell>
          <cell r="AF13" t="e">
            <v>#NAME?</v>
          </cell>
          <cell r="AG13" t="e">
            <v>#NAME?</v>
          </cell>
        </row>
        <row r="14">
          <cell r="D14" t="e">
            <v>#NAME?</v>
          </cell>
          <cell r="E14" t="e">
            <v>#NAME?</v>
          </cell>
          <cell r="F14" t="e">
            <v>#NAME?</v>
          </cell>
          <cell r="G14" t="e">
            <v>#NAME?</v>
          </cell>
          <cell r="H14" t="e">
            <v>#NAME?</v>
          </cell>
          <cell r="I14" t="e">
            <v>#NAME?</v>
          </cell>
          <cell r="J14" t="e">
            <v>#NAME?</v>
          </cell>
          <cell r="K14" t="e">
            <v>#NAME?</v>
          </cell>
          <cell r="L14" t="e">
            <v>#NAME?</v>
          </cell>
          <cell r="M14" t="e">
            <v>#NAME?</v>
          </cell>
          <cell r="N14" t="e">
            <v>#NAME?</v>
          </cell>
          <cell r="Q14" t="e">
            <v>#NAME?</v>
          </cell>
          <cell r="R14" t="e">
            <v>#NAME?</v>
          </cell>
          <cell r="S14" t="e">
            <v>#NAME?</v>
          </cell>
          <cell r="T14" t="e">
            <v>#NAME?</v>
          </cell>
          <cell r="U14" t="e">
            <v>#NAME?</v>
          </cell>
          <cell r="V14" t="e">
            <v>#NAME?</v>
          </cell>
          <cell r="W14" t="e">
            <v>#NAME?</v>
          </cell>
          <cell r="X14" t="e">
            <v>#NAME?</v>
          </cell>
          <cell r="Y14" t="e">
            <v>#NAME?</v>
          </cell>
          <cell r="Z14" t="e">
            <v>#NAME?</v>
          </cell>
          <cell r="AA14" t="e">
            <v>#NAME?</v>
          </cell>
          <cell r="AE14" t="e">
            <v>#NAME?</v>
          </cell>
          <cell r="AF14" t="e">
            <v>#NAME?</v>
          </cell>
          <cell r="AG14" t="e">
            <v>#NAME?</v>
          </cell>
        </row>
        <row r="15">
          <cell r="D15" t="e">
            <v>#NAME?</v>
          </cell>
          <cell r="E15" t="e">
            <v>#NAME?</v>
          </cell>
          <cell r="F15" t="e">
            <v>#NAME?</v>
          </cell>
          <cell r="G15" t="e">
            <v>#NAME?</v>
          </cell>
          <cell r="H15" t="e">
            <v>#NAME?</v>
          </cell>
          <cell r="I15" t="e">
            <v>#NAME?</v>
          </cell>
          <cell r="J15" t="e">
            <v>#NAME?</v>
          </cell>
          <cell r="K15" t="e">
            <v>#NAME?</v>
          </cell>
          <cell r="L15" t="e">
            <v>#NAME?</v>
          </cell>
          <cell r="M15" t="e">
            <v>#NAME?</v>
          </cell>
          <cell r="N15" t="e">
            <v>#NAME?</v>
          </cell>
          <cell r="Q15" t="e">
            <v>#NAME?</v>
          </cell>
          <cell r="R15" t="e">
            <v>#NAME?</v>
          </cell>
          <cell r="S15" t="e">
            <v>#NAME?</v>
          </cell>
          <cell r="T15" t="e">
            <v>#NAME?</v>
          </cell>
          <cell r="U15" t="e">
            <v>#NAME?</v>
          </cell>
          <cell r="V15" t="e">
            <v>#NAME?</v>
          </cell>
          <cell r="W15" t="e">
            <v>#NAME?</v>
          </cell>
          <cell r="X15" t="e">
            <v>#NAME?</v>
          </cell>
          <cell r="Y15" t="e">
            <v>#NAME?</v>
          </cell>
          <cell r="Z15" t="e">
            <v>#NAME?</v>
          </cell>
          <cell r="AA15" t="e">
            <v>#NAME?</v>
          </cell>
          <cell r="AE15" t="e">
            <v>#NAME?</v>
          </cell>
          <cell r="AF15" t="e">
            <v>#NAME?</v>
          </cell>
          <cell r="AG15" t="e">
            <v>#NAME?</v>
          </cell>
        </row>
        <row r="16">
          <cell r="D16" t="e">
            <v>#NAME?</v>
          </cell>
          <cell r="E16" t="e">
            <v>#NAME?</v>
          </cell>
          <cell r="F16" t="e">
            <v>#NAME?</v>
          </cell>
          <cell r="G16" t="e">
            <v>#NAME?</v>
          </cell>
          <cell r="H16" t="e">
            <v>#NAME?</v>
          </cell>
          <cell r="I16" t="e">
            <v>#NAME?</v>
          </cell>
          <cell r="J16" t="e">
            <v>#NAME?</v>
          </cell>
          <cell r="K16" t="e">
            <v>#NAME?</v>
          </cell>
          <cell r="L16" t="e">
            <v>#NAME?</v>
          </cell>
          <cell r="M16" t="e">
            <v>#NAME?</v>
          </cell>
          <cell r="N16" t="e">
            <v>#NAME?</v>
          </cell>
          <cell r="Q16" t="e">
            <v>#NAME?</v>
          </cell>
          <cell r="R16" t="e">
            <v>#NAME?</v>
          </cell>
          <cell r="S16" t="e">
            <v>#NAME?</v>
          </cell>
          <cell r="T16" t="e">
            <v>#NAME?</v>
          </cell>
          <cell r="U16" t="e">
            <v>#NAME?</v>
          </cell>
          <cell r="V16" t="e">
            <v>#NAME?</v>
          </cell>
          <cell r="W16" t="e">
            <v>#NAME?</v>
          </cell>
          <cell r="X16" t="e">
            <v>#NAME?</v>
          </cell>
          <cell r="Y16" t="e">
            <v>#NAME?</v>
          </cell>
          <cell r="Z16" t="e">
            <v>#NAME?</v>
          </cell>
          <cell r="AA16" t="e">
            <v>#NAME?</v>
          </cell>
          <cell r="AE16" t="e">
            <v>#NAME?</v>
          </cell>
          <cell r="AF16" t="e">
            <v>#NAME?</v>
          </cell>
          <cell r="AG16" t="e">
            <v>#NAME?</v>
          </cell>
        </row>
        <row r="17">
          <cell r="D17" t="e">
            <v>#NAME?</v>
          </cell>
          <cell r="E17" t="e">
            <v>#NAME?</v>
          </cell>
          <cell r="F17" t="e">
            <v>#NAME?</v>
          </cell>
          <cell r="G17" t="e">
            <v>#NAME?</v>
          </cell>
          <cell r="H17" t="e">
            <v>#NAME?</v>
          </cell>
          <cell r="I17" t="e">
            <v>#NAME?</v>
          </cell>
          <cell r="J17" t="e">
            <v>#NAME?</v>
          </cell>
          <cell r="K17" t="e">
            <v>#NAME?</v>
          </cell>
          <cell r="L17" t="e">
            <v>#NAME?</v>
          </cell>
          <cell r="M17" t="e">
            <v>#NAME?</v>
          </cell>
          <cell r="N17" t="e">
            <v>#NAME?</v>
          </cell>
          <cell r="Q17" t="e">
            <v>#NAME?</v>
          </cell>
          <cell r="R17" t="e">
            <v>#NAME?</v>
          </cell>
          <cell r="S17" t="e">
            <v>#NAME?</v>
          </cell>
          <cell r="T17" t="e">
            <v>#NAME?</v>
          </cell>
          <cell r="U17" t="e">
            <v>#NAME?</v>
          </cell>
          <cell r="V17" t="e">
            <v>#NAME?</v>
          </cell>
          <cell r="W17" t="e">
            <v>#NAME?</v>
          </cell>
          <cell r="X17" t="e">
            <v>#NAME?</v>
          </cell>
          <cell r="Y17" t="e">
            <v>#NAME?</v>
          </cell>
          <cell r="Z17" t="e">
            <v>#NAME?</v>
          </cell>
          <cell r="AA17" t="e">
            <v>#NAME?</v>
          </cell>
          <cell r="AE17" t="e">
            <v>#NAME?</v>
          </cell>
          <cell r="AF17" t="e">
            <v>#NAME?</v>
          </cell>
          <cell r="AG17" t="e">
            <v>#NAME?</v>
          </cell>
        </row>
        <row r="19">
          <cell r="D19" t="e">
            <v>#NAME?</v>
          </cell>
          <cell r="E19" t="e">
            <v>#NAME?</v>
          </cell>
          <cell r="F19" t="e">
            <v>#NAME?</v>
          </cell>
          <cell r="G19" t="e">
            <v>#NAME?</v>
          </cell>
          <cell r="H19" t="e">
            <v>#NAME?</v>
          </cell>
          <cell r="I19" t="e">
            <v>#NAME?</v>
          </cell>
          <cell r="J19" t="e">
            <v>#NAME?</v>
          </cell>
          <cell r="K19" t="e">
            <v>#NAME?</v>
          </cell>
          <cell r="L19" t="e">
            <v>#NAME?</v>
          </cell>
          <cell r="M19" t="e">
            <v>#NAME?</v>
          </cell>
          <cell r="N19" t="e">
            <v>#NAME?</v>
          </cell>
          <cell r="Q19" t="e">
            <v>#NAME?</v>
          </cell>
          <cell r="R19" t="e">
            <v>#NAME?</v>
          </cell>
          <cell r="S19" t="e">
            <v>#NAME?</v>
          </cell>
          <cell r="T19" t="e">
            <v>#NAME?</v>
          </cell>
          <cell r="U19" t="e">
            <v>#NAME?</v>
          </cell>
          <cell r="V19" t="e">
            <v>#NAME?</v>
          </cell>
          <cell r="W19" t="e">
            <v>#NAME?</v>
          </cell>
          <cell r="X19" t="e">
            <v>#NAME?</v>
          </cell>
          <cell r="Y19" t="e">
            <v>#NAME?</v>
          </cell>
          <cell r="Z19" t="e">
            <v>#NAME?</v>
          </cell>
          <cell r="AA19" t="e">
            <v>#NAME?</v>
          </cell>
          <cell r="AE19" t="e">
            <v>#NAME?</v>
          </cell>
          <cell r="AF19" t="e">
            <v>#NAME?</v>
          </cell>
          <cell r="AG19" t="e">
            <v>#NAME?</v>
          </cell>
        </row>
        <row r="20">
          <cell r="D20" t="e">
            <v>#NAME?</v>
          </cell>
          <cell r="E20" t="e">
            <v>#NAME?</v>
          </cell>
          <cell r="F20" t="e">
            <v>#NAME?</v>
          </cell>
          <cell r="G20" t="e">
            <v>#NAME?</v>
          </cell>
          <cell r="H20" t="e">
            <v>#NAME?</v>
          </cell>
          <cell r="I20" t="e">
            <v>#NAME?</v>
          </cell>
          <cell r="J20" t="e">
            <v>#NAME?</v>
          </cell>
          <cell r="K20" t="e">
            <v>#NAME?</v>
          </cell>
          <cell r="L20" t="e">
            <v>#NAME?</v>
          </cell>
          <cell r="M20" t="e">
            <v>#NAME?</v>
          </cell>
          <cell r="N20" t="e">
            <v>#NAME?</v>
          </cell>
          <cell r="Q20" t="e">
            <v>#NAME?</v>
          </cell>
          <cell r="R20" t="e">
            <v>#NAME?</v>
          </cell>
          <cell r="S20" t="e">
            <v>#NAME?</v>
          </cell>
          <cell r="T20" t="e">
            <v>#NAME?</v>
          </cell>
          <cell r="U20" t="e">
            <v>#NAME?</v>
          </cell>
          <cell r="V20" t="e">
            <v>#NAME?</v>
          </cell>
          <cell r="W20" t="e">
            <v>#NAME?</v>
          </cell>
          <cell r="X20" t="e">
            <v>#NAME?</v>
          </cell>
          <cell r="Y20" t="e">
            <v>#NAME?</v>
          </cell>
          <cell r="Z20" t="e">
            <v>#NAME?</v>
          </cell>
          <cell r="AA20" t="e">
            <v>#NAME?</v>
          </cell>
          <cell r="AE20" t="e">
            <v>#NAME?</v>
          </cell>
          <cell r="AF20" t="e">
            <v>#NAME?</v>
          </cell>
          <cell r="AG20" t="e">
            <v>#NAME?</v>
          </cell>
        </row>
        <row r="21">
          <cell r="D21" t="e">
            <v>#NAME?</v>
          </cell>
          <cell r="E21" t="e">
            <v>#NAME?</v>
          </cell>
          <cell r="F21" t="e">
            <v>#NAME?</v>
          </cell>
          <cell r="G21" t="e">
            <v>#NAME?</v>
          </cell>
          <cell r="H21" t="e">
            <v>#NAME?</v>
          </cell>
          <cell r="I21" t="e">
            <v>#NAME?</v>
          </cell>
          <cell r="J21" t="e">
            <v>#NAME?</v>
          </cell>
          <cell r="K21" t="e">
            <v>#NAME?</v>
          </cell>
          <cell r="L21" t="e">
            <v>#NAME?</v>
          </cell>
          <cell r="M21" t="e">
            <v>#NAME?</v>
          </cell>
          <cell r="N21" t="e">
            <v>#NAME?</v>
          </cell>
          <cell r="Q21" t="e">
            <v>#NAME?</v>
          </cell>
          <cell r="R21" t="e">
            <v>#NAME?</v>
          </cell>
          <cell r="S21" t="e">
            <v>#NAME?</v>
          </cell>
          <cell r="T21" t="e">
            <v>#NAME?</v>
          </cell>
          <cell r="U21" t="e">
            <v>#NAME?</v>
          </cell>
          <cell r="V21" t="e">
            <v>#NAME?</v>
          </cell>
          <cell r="W21" t="e">
            <v>#NAME?</v>
          </cell>
          <cell r="X21" t="e">
            <v>#NAME?</v>
          </cell>
          <cell r="Y21" t="e">
            <v>#NAME?</v>
          </cell>
          <cell r="Z21" t="e">
            <v>#NAME?</v>
          </cell>
          <cell r="AA21" t="e">
            <v>#NAME?</v>
          </cell>
          <cell r="AE21" t="e">
            <v>#NAME?</v>
          </cell>
          <cell r="AF21" t="e">
            <v>#NAME?</v>
          </cell>
          <cell r="AG21" t="e">
            <v>#NAME?</v>
          </cell>
        </row>
        <row r="22">
          <cell r="D22" t="e">
            <v>#NAME?</v>
          </cell>
          <cell r="E22" t="e">
            <v>#NAME?</v>
          </cell>
          <cell r="F22" t="e">
            <v>#NAME?</v>
          </cell>
          <cell r="G22" t="e">
            <v>#NAME?</v>
          </cell>
          <cell r="H22" t="e">
            <v>#NAME?</v>
          </cell>
          <cell r="I22" t="e">
            <v>#NAME?</v>
          </cell>
          <cell r="J22" t="e">
            <v>#NAME?</v>
          </cell>
          <cell r="K22" t="e">
            <v>#NAME?</v>
          </cell>
          <cell r="L22" t="e">
            <v>#NAME?</v>
          </cell>
          <cell r="M22" t="e">
            <v>#NAME?</v>
          </cell>
          <cell r="N22" t="e">
            <v>#NAME?</v>
          </cell>
          <cell r="Q22" t="e">
            <v>#NAME?</v>
          </cell>
          <cell r="R22" t="e">
            <v>#NAME?</v>
          </cell>
          <cell r="S22" t="e">
            <v>#NAME?</v>
          </cell>
          <cell r="T22" t="e">
            <v>#NAME?</v>
          </cell>
          <cell r="U22" t="e">
            <v>#NAME?</v>
          </cell>
          <cell r="V22" t="e">
            <v>#NAME?</v>
          </cell>
          <cell r="W22" t="e">
            <v>#NAME?</v>
          </cell>
          <cell r="X22" t="e">
            <v>#NAME?</v>
          </cell>
          <cell r="Y22" t="e">
            <v>#NAME?</v>
          </cell>
          <cell r="Z22" t="e">
            <v>#NAME?</v>
          </cell>
          <cell r="AA22" t="e">
            <v>#NAME?</v>
          </cell>
          <cell r="AE22" t="e">
            <v>#NAME?</v>
          </cell>
          <cell r="AF22" t="e">
            <v>#NAME?</v>
          </cell>
          <cell r="AG22" t="e">
            <v>#NAME?</v>
          </cell>
        </row>
        <row r="24">
          <cell r="D24" t="e">
            <v>#NAME?</v>
          </cell>
          <cell r="E24" t="e">
            <v>#NAME?</v>
          </cell>
          <cell r="F24" t="e">
            <v>#NAME?</v>
          </cell>
          <cell r="G24" t="e">
            <v>#NAME?</v>
          </cell>
          <cell r="H24" t="e">
            <v>#NAME?</v>
          </cell>
          <cell r="I24" t="e">
            <v>#NAME?</v>
          </cell>
          <cell r="J24" t="e">
            <v>#NAME?</v>
          </cell>
          <cell r="K24" t="e">
            <v>#NAME?</v>
          </cell>
          <cell r="L24" t="e">
            <v>#NAME?</v>
          </cell>
          <cell r="M24" t="e">
            <v>#NAME?</v>
          </cell>
          <cell r="N24" t="e">
            <v>#NAME?</v>
          </cell>
          <cell r="Q24" t="e">
            <v>#NAME?</v>
          </cell>
          <cell r="R24" t="e">
            <v>#NAME?</v>
          </cell>
          <cell r="S24" t="e">
            <v>#NAME?</v>
          </cell>
          <cell r="T24" t="e">
            <v>#NAME?</v>
          </cell>
          <cell r="U24" t="e">
            <v>#NAME?</v>
          </cell>
          <cell r="V24" t="e">
            <v>#NAME?</v>
          </cell>
          <cell r="W24" t="e">
            <v>#NAME?</v>
          </cell>
          <cell r="X24" t="e">
            <v>#NAME?</v>
          </cell>
          <cell r="Y24" t="e">
            <v>#NAME?</v>
          </cell>
          <cell r="Z24" t="e">
            <v>#NAME?</v>
          </cell>
          <cell r="AA24" t="e">
            <v>#NAME?</v>
          </cell>
          <cell r="AE24" t="e">
            <v>#NAME?</v>
          </cell>
          <cell r="AF24" t="e">
            <v>#NAME?</v>
          </cell>
          <cell r="AG24" t="e">
            <v>#NAME?</v>
          </cell>
        </row>
        <row r="25">
          <cell r="D25" t="e">
            <v>#NAME?</v>
          </cell>
          <cell r="E25" t="e">
            <v>#NAME?</v>
          </cell>
          <cell r="F25" t="e">
            <v>#NAME?</v>
          </cell>
          <cell r="G25" t="e">
            <v>#NAME?</v>
          </cell>
          <cell r="H25" t="e">
            <v>#NAME?</v>
          </cell>
          <cell r="I25" t="e">
            <v>#NAME?</v>
          </cell>
          <cell r="J25" t="e">
            <v>#NAME?</v>
          </cell>
          <cell r="K25" t="e">
            <v>#NAME?</v>
          </cell>
          <cell r="L25" t="e">
            <v>#NAME?</v>
          </cell>
          <cell r="M25" t="e">
            <v>#NAME?</v>
          </cell>
          <cell r="N25" t="e">
            <v>#NAME?</v>
          </cell>
          <cell r="Q25" t="e">
            <v>#NAME?</v>
          </cell>
          <cell r="R25" t="e">
            <v>#NAME?</v>
          </cell>
          <cell r="S25" t="e">
            <v>#NAME?</v>
          </cell>
          <cell r="T25" t="e">
            <v>#NAME?</v>
          </cell>
          <cell r="U25" t="e">
            <v>#NAME?</v>
          </cell>
          <cell r="V25" t="e">
            <v>#NAME?</v>
          </cell>
          <cell r="W25" t="e">
            <v>#NAME?</v>
          </cell>
          <cell r="X25" t="e">
            <v>#NAME?</v>
          </cell>
          <cell r="Y25" t="e">
            <v>#NAME?</v>
          </cell>
          <cell r="Z25" t="e">
            <v>#NAME?</v>
          </cell>
          <cell r="AA25" t="e">
            <v>#NAME?</v>
          </cell>
          <cell r="AE25" t="e">
            <v>#NAME?</v>
          </cell>
          <cell r="AF25" t="e">
            <v>#NAME?</v>
          </cell>
          <cell r="AG25" t="e">
            <v>#NAME?</v>
          </cell>
        </row>
        <row r="26">
          <cell r="D26" t="e">
            <v>#NAME?</v>
          </cell>
          <cell r="E26" t="e">
            <v>#NAME?</v>
          </cell>
          <cell r="F26" t="e">
            <v>#NAME?</v>
          </cell>
          <cell r="G26" t="e">
            <v>#NAME?</v>
          </cell>
          <cell r="H26" t="e">
            <v>#NAME?</v>
          </cell>
          <cell r="I26" t="e">
            <v>#NAME?</v>
          </cell>
          <cell r="J26" t="e">
            <v>#NAME?</v>
          </cell>
          <cell r="K26" t="e">
            <v>#NAME?</v>
          </cell>
          <cell r="L26" t="e">
            <v>#NAME?</v>
          </cell>
          <cell r="M26" t="e">
            <v>#NAME?</v>
          </cell>
          <cell r="N26" t="e">
            <v>#NAME?</v>
          </cell>
          <cell r="Q26" t="e">
            <v>#NAME?</v>
          </cell>
          <cell r="R26" t="e">
            <v>#NAME?</v>
          </cell>
          <cell r="S26" t="e">
            <v>#NAME?</v>
          </cell>
          <cell r="T26" t="e">
            <v>#NAME?</v>
          </cell>
          <cell r="U26" t="e">
            <v>#NAME?</v>
          </cell>
          <cell r="V26" t="e">
            <v>#NAME?</v>
          </cell>
          <cell r="W26" t="e">
            <v>#NAME?</v>
          </cell>
          <cell r="X26" t="e">
            <v>#NAME?</v>
          </cell>
          <cell r="Y26" t="e">
            <v>#NAME?</v>
          </cell>
          <cell r="Z26" t="e">
            <v>#NAME?</v>
          </cell>
          <cell r="AA26" t="e">
            <v>#NAME?</v>
          </cell>
          <cell r="AE26" t="e">
            <v>#NAME?</v>
          </cell>
          <cell r="AF26" t="e">
            <v>#NAME?</v>
          </cell>
          <cell r="AG26" t="e">
            <v>#NAME?</v>
          </cell>
        </row>
        <row r="27">
          <cell r="D27" t="e">
            <v>#NAME?</v>
          </cell>
          <cell r="E27" t="e">
            <v>#NAME?</v>
          </cell>
          <cell r="F27" t="e">
            <v>#NAME?</v>
          </cell>
          <cell r="G27" t="e">
            <v>#NAME?</v>
          </cell>
          <cell r="H27" t="e">
            <v>#NAME?</v>
          </cell>
          <cell r="I27" t="e">
            <v>#NAME?</v>
          </cell>
          <cell r="J27" t="e">
            <v>#NAME?</v>
          </cell>
          <cell r="K27" t="e">
            <v>#NAME?</v>
          </cell>
          <cell r="L27" t="e">
            <v>#NAME?</v>
          </cell>
          <cell r="M27" t="e">
            <v>#NAME?</v>
          </cell>
          <cell r="N27" t="e">
            <v>#NAME?</v>
          </cell>
          <cell r="Q27" t="e">
            <v>#NAME?</v>
          </cell>
          <cell r="R27" t="e">
            <v>#NAME?</v>
          </cell>
          <cell r="S27" t="e">
            <v>#NAME?</v>
          </cell>
          <cell r="T27" t="e">
            <v>#NAME?</v>
          </cell>
          <cell r="U27" t="e">
            <v>#NAME?</v>
          </cell>
          <cell r="V27" t="e">
            <v>#NAME?</v>
          </cell>
          <cell r="W27" t="e">
            <v>#NAME?</v>
          </cell>
          <cell r="X27" t="e">
            <v>#NAME?</v>
          </cell>
          <cell r="Y27" t="e">
            <v>#NAME?</v>
          </cell>
          <cell r="Z27" t="e">
            <v>#NAME?</v>
          </cell>
          <cell r="AA27" t="e">
            <v>#NAME?</v>
          </cell>
          <cell r="AE27" t="e">
            <v>#NAME?</v>
          </cell>
          <cell r="AF27" t="e">
            <v>#NAME?</v>
          </cell>
          <cell r="AG27" t="e">
            <v>#NAME?</v>
          </cell>
        </row>
      </sheetData>
      <sheetData sheetId="7">
        <row r="4">
          <cell r="D4">
            <v>1537.530029296875</v>
          </cell>
          <cell r="E4">
            <v>968.48800000000006</v>
          </cell>
          <cell r="F4">
            <v>1159.0170000000001</v>
          </cell>
          <cell r="G4">
            <v>1136.876</v>
          </cell>
          <cell r="H4">
            <v>825.82299999999998</v>
          </cell>
          <cell r="I4">
            <v>1214.4829999999999</v>
          </cell>
          <cell r="J4">
            <v>2381</v>
          </cell>
          <cell r="K4">
            <v>1436.05</v>
          </cell>
          <cell r="L4">
            <v>1436.05</v>
          </cell>
          <cell r="M4">
            <v>1655.25</v>
          </cell>
          <cell r="N4">
            <v>1.71</v>
          </cell>
          <cell r="R4">
            <v>-5.5919999999999987</v>
          </cell>
          <cell r="S4">
            <v>256.79899999999998</v>
          </cell>
          <cell r="T4">
            <v>239.87899999999999</v>
          </cell>
          <cell r="U4">
            <v>79.540000000000006</v>
          </cell>
          <cell r="V4">
            <v>253.62100000000001</v>
          </cell>
          <cell r="W4">
            <v>535.1</v>
          </cell>
          <cell r="X4">
            <v>161.49100000000001</v>
          </cell>
          <cell r="Y4">
            <v>226.45500000000001</v>
          </cell>
          <cell r="Z4">
            <v>208.5</v>
          </cell>
          <cell r="AA4">
            <v>212</v>
          </cell>
          <cell r="AB4">
            <v>-3.4229222304956259</v>
          </cell>
          <cell r="AF4">
            <v>1863547.8175999997</v>
          </cell>
          <cell r="AG4">
            <v>454.03100000000001</v>
          </cell>
          <cell r="AH4">
            <v>0.32948091636180249</v>
          </cell>
        </row>
        <row r="5">
          <cell r="D5">
            <v>3026</v>
          </cell>
          <cell r="E5">
            <v>4279</v>
          </cell>
          <cell r="F5">
            <v>4447</v>
          </cell>
          <cell r="G5">
            <v>4755</v>
          </cell>
          <cell r="H5">
            <v>4856</v>
          </cell>
          <cell r="I5">
            <v>4583</v>
          </cell>
          <cell r="J5">
            <v>4708.7269999999999</v>
          </cell>
          <cell r="K5">
            <v>4805.1900000000005</v>
          </cell>
          <cell r="L5">
            <v>4805.1900000000005</v>
          </cell>
          <cell r="M5">
            <v>5423.3330000000005</v>
          </cell>
          <cell r="N5">
            <v>5436</v>
          </cell>
          <cell r="R5">
            <v>1034</v>
          </cell>
          <cell r="S5">
            <v>1312</v>
          </cell>
          <cell r="T5">
            <v>1788</v>
          </cell>
          <cell r="U5">
            <v>1779</v>
          </cell>
          <cell r="V5">
            <v>1687</v>
          </cell>
          <cell r="W5">
            <v>1598.7860000000001</v>
          </cell>
          <cell r="X5">
            <v>1702.538</v>
          </cell>
          <cell r="Y5">
            <v>1834</v>
          </cell>
          <cell r="Z5">
            <v>1934.5</v>
          </cell>
          <cell r="AA5">
            <v>1728</v>
          </cell>
          <cell r="AB5">
            <v>0.19826204463973074</v>
          </cell>
          <cell r="AF5">
            <v>16132466.293999998</v>
          </cell>
          <cell r="AG5">
            <v>4320</v>
          </cell>
          <cell r="AH5">
            <v>0.26806714429444473</v>
          </cell>
        </row>
        <row r="6">
          <cell r="D6">
            <v>2611.2180673678913</v>
          </cell>
          <cell r="E6">
            <v>3095.1716743818047</v>
          </cell>
          <cell r="F6">
            <v>2826.8917740780853</v>
          </cell>
          <cell r="G6">
            <v>3018.7651733688517</v>
          </cell>
          <cell r="H6">
            <v>3368.1508869267614</v>
          </cell>
          <cell r="I6">
            <v>2735.0424603336828</v>
          </cell>
          <cell r="J6">
            <v>2092.596</v>
          </cell>
          <cell r="K6">
            <v>2365.3989999999999</v>
          </cell>
          <cell r="L6">
            <v>2365.3989999999999</v>
          </cell>
          <cell r="M6">
            <v>2410.9360000000001</v>
          </cell>
          <cell r="N6">
            <v>2534.5889999999999</v>
          </cell>
          <cell r="R6">
            <v>410.58328392166192</v>
          </cell>
          <cell r="S6">
            <v>340.3670694932045</v>
          </cell>
          <cell r="T6">
            <v>388.23359879996406</v>
          </cell>
          <cell r="U6">
            <v>643.16754795625832</v>
          </cell>
          <cell r="V6">
            <v>391.96688070659667</v>
          </cell>
          <cell r="W6">
            <v>211.24</v>
          </cell>
          <cell r="X6">
            <v>364.3</v>
          </cell>
          <cell r="Y6">
            <v>376.44200000000001</v>
          </cell>
          <cell r="Z6">
            <v>399.26800000000003</v>
          </cell>
          <cell r="AA6">
            <v>450.089</v>
          </cell>
          <cell r="AB6">
            <v>0.16137984921331561</v>
          </cell>
          <cell r="AF6">
            <v>344974000</v>
          </cell>
          <cell r="AG6">
            <v>59023</v>
          </cell>
          <cell r="AH6">
            <v>0.16643450111665051</v>
          </cell>
        </row>
        <row r="7">
          <cell r="D7">
            <v>1316.0502757438746</v>
          </cell>
          <cell r="E7">
            <v>1505.6390855573857</v>
          </cell>
          <cell r="F7">
            <v>1231.3290635542951</v>
          </cell>
          <cell r="G7">
            <v>1374.3616236137709</v>
          </cell>
          <cell r="H7">
            <v>1462.4516550062592</v>
          </cell>
          <cell r="I7">
            <v>1617.821822402082</v>
          </cell>
          <cell r="J7">
            <v>1391.922</v>
          </cell>
          <cell r="K7">
            <v>1984.0260000000001</v>
          </cell>
          <cell r="L7">
            <v>1984.0260000000001</v>
          </cell>
          <cell r="M7">
            <v>2371.9969999999998</v>
          </cell>
          <cell r="N7">
            <v>2301.9720000000002</v>
          </cell>
          <cell r="R7">
            <v>494.22286403333919</v>
          </cell>
          <cell r="S7">
            <v>329.54565996288619</v>
          </cell>
          <cell r="T7">
            <v>342.08814505936152</v>
          </cell>
          <cell r="U7">
            <v>566.1044505111405</v>
          </cell>
          <cell r="V7">
            <v>606.6619329429825</v>
          </cell>
          <cell r="W7">
            <v>130.03100000000001</v>
          </cell>
          <cell r="X7">
            <v>591.875</v>
          </cell>
          <cell r="Y7">
            <v>718.94500000000005</v>
          </cell>
          <cell r="Z7">
            <v>636.86599999999999</v>
          </cell>
          <cell r="AA7">
            <v>288.05700000000002</v>
          </cell>
          <cell r="AB7">
            <v>4.6304063585995259E-2</v>
          </cell>
          <cell r="AF7">
            <v>1210608.8422000001</v>
          </cell>
          <cell r="AG7" t="str">
            <v>#N/A N/A</v>
          </cell>
          <cell r="AH7" t="e">
            <v>#VALUE!</v>
          </cell>
        </row>
        <row r="8">
          <cell r="D8" t="str">
            <v>#N/A Invalid Security</v>
          </cell>
          <cell r="E8" t="str">
            <v>#N/A Invalid Security</v>
          </cell>
          <cell r="F8" t="str">
            <v>#N/A Invalid Security</v>
          </cell>
          <cell r="G8" t="str">
            <v>#N/A Invalid Security</v>
          </cell>
          <cell r="H8" t="str">
            <v>#N/A Invalid Security</v>
          </cell>
          <cell r="I8" t="str">
            <v>#N/A Invalid Security</v>
          </cell>
          <cell r="J8" t="str">
            <v>#N/A Invalid Security</v>
          </cell>
          <cell r="K8" t="str">
            <v>#N/A Invalid Security</v>
          </cell>
          <cell r="L8" t="str">
            <v>#N/A Invalid Security</v>
          </cell>
          <cell r="M8" t="str">
            <v>#N/A Invalid Security</v>
          </cell>
          <cell r="N8" t="str">
            <v>#N/A Invalid Security</v>
          </cell>
          <cell r="R8" t="str">
            <v>#N/A Invalid Security</v>
          </cell>
          <cell r="S8" t="str">
            <v>#N/A Invalid Security</v>
          </cell>
          <cell r="T8" t="str">
            <v>#N/A Invalid Security</v>
          </cell>
          <cell r="U8" t="str">
            <v>#N/A Invalid Security</v>
          </cell>
          <cell r="V8" t="str">
            <v>#N/A Invalid Security</v>
          </cell>
          <cell r="W8" t="str">
            <v>#N/A Invalid Security</v>
          </cell>
          <cell r="X8" t="str">
            <v>#N/A Invalid Security</v>
          </cell>
          <cell r="Y8" t="str">
            <v>#N/A Invalid Security</v>
          </cell>
          <cell r="Z8" t="str">
            <v>#N/A Invalid Security</v>
          </cell>
          <cell r="AA8" t="str">
            <v>#N/A Invalid Security</v>
          </cell>
          <cell r="AB8" t="e">
            <v>#VALUE!</v>
          </cell>
          <cell r="AF8" t="e">
            <v>#VALUE!</v>
          </cell>
          <cell r="AG8" t="str">
            <v>#N/A Invalid Security</v>
          </cell>
          <cell r="AH8" t="e">
            <v>#VALUE!</v>
          </cell>
        </row>
        <row r="9">
          <cell r="D9" t="str">
            <v>#N/A Invalid Security</v>
          </cell>
          <cell r="E9" t="str">
            <v>#N/A Invalid Security</v>
          </cell>
          <cell r="F9" t="str">
            <v>#N/A Invalid Security</v>
          </cell>
          <cell r="G9" t="str">
            <v>#N/A Invalid Security</v>
          </cell>
          <cell r="H9" t="str">
            <v>#N/A Invalid Security</v>
          </cell>
          <cell r="I9" t="str">
            <v>#N/A Invalid Security</v>
          </cell>
          <cell r="J9" t="str">
            <v>#N/A Invalid Security</v>
          </cell>
          <cell r="K9" t="str">
            <v>#N/A Invalid Security</v>
          </cell>
          <cell r="L9" t="str">
            <v>#N/A Invalid Security</v>
          </cell>
          <cell r="M9" t="str">
            <v>#N/A Invalid Security</v>
          </cell>
          <cell r="N9" t="str">
            <v>#N/A Invalid Security</v>
          </cell>
          <cell r="R9" t="str">
            <v>#N/A Invalid Security</v>
          </cell>
          <cell r="S9" t="str">
            <v>#N/A Invalid Security</v>
          </cell>
          <cell r="T9" t="str">
            <v>#N/A Invalid Security</v>
          </cell>
          <cell r="U9" t="str">
            <v>#N/A Invalid Security</v>
          </cell>
          <cell r="V9" t="str">
            <v>#N/A Invalid Security</v>
          </cell>
          <cell r="W9" t="str">
            <v>#N/A Invalid Security</v>
          </cell>
          <cell r="X9" t="str">
            <v>#N/A Invalid Security</v>
          </cell>
          <cell r="Y9" t="str">
            <v>#N/A Invalid Security</v>
          </cell>
          <cell r="Z9" t="str">
            <v>#N/A Invalid Security</v>
          </cell>
          <cell r="AA9" t="str">
            <v>#N/A Invalid Security</v>
          </cell>
          <cell r="AB9" t="e">
            <v>#VALUE!</v>
          </cell>
          <cell r="AF9" t="e">
            <v>#VALUE!</v>
          </cell>
          <cell r="AG9" t="str">
            <v>#N/A Invalid Security</v>
          </cell>
          <cell r="AH9" t="e">
            <v>#VALUE!</v>
          </cell>
        </row>
        <row r="10">
          <cell r="D10" t="str">
            <v>#N/A Invalid Security</v>
          </cell>
          <cell r="E10" t="str">
            <v>#N/A Invalid Security</v>
          </cell>
          <cell r="F10" t="str">
            <v>#N/A Invalid Security</v>
          </cell>
          <cell r="G10" t="str">
            <v>#N/A Invalid Security</v>
          </cell>
          <cell r="H10" t="str">
            <v>#N/A Invalid Security</v>
          </cell>
          <cell r="I10" t="str">
            <v>#N/A Invalid Security</v>
          </cell>
          <cell r="J10" t="str">
            <v>#N/A Invalid Security</v>
          </cell>
          <cell r="K10" t="str">
            <v>#N/A Invalid Security</v>
          </cell>
          <cell r="L10" t="str">
            <v>#N/A Invalid Security</v>
          </cell>
          <cell r="M10" t="str">
            <v>#N/A Invalid Security</v>
          </cell>
          <cell r="N10" t="str">
            <v>#N/A Invalid Security</v>
          </cell>
          <cell r="R10" t="str">
            <v>#N/A Invalid Security</v>
          </cell>
          <cell r="S10" t="str">
            <v>#N/A Invalid Security</v>
          </cell>
          <cell r="T10" t="str">
            <v>#N/A Invalid Security</v>
          </cell>
          <cell r="U10" t="str">
            <v>#N/A Invalid Security</v>
          </cell>
          <cell r="V10" t="str">
            <v>#N/A Invalid Security</v>
          </cell>
          <cell r="W10" t="str">
            <v>#N/A Invalid Security</v>
          </cell>
          <cell r="X10" t="str">
            <v>#N/A Invalid Security</v>
          </cell>
          <cell r="Y10" t="str">
            <v>#N/A Invalid Security</v>
          </cell>
          <cell r="Z10" t="str">
            <v>#N/A Invalid Security</v>
          </cell>
          <cell r="AA10" t="str">
            <v>#N/A Invalid Security</v>
          </cell>
          <cell r="AB10" t="e">
            <v>#VALUE!</v>
          </cell>
          <cell r="AF10" t="e">
            <v>#VALUE!</v>
          </cell>
          <cell r="AG10" t="str">
            <v>#N/A Invalid Security</v>
          </cell>
          <cell r="AH10" t="e">
            <v>#VALUE!</v>
          </cell>
        </row>
        <row r="12">
          <cell r="D12">
            <v>19.41</v>
          </cell>
          <cell r="E12">
            <v>121.467</v>
          </cell>
          <cell r="F12">
            <v>597.45899999999995</v>
          </cell>
          <cell r="G12">
            <v>1140.0999999999999</v>
          </cell>
          <cell r="H12">
            <v>1281.2670000000001</v>
          </cell>
          <cell r="I12">
            <v>873.26599999999996</v>
          </cell>
          <cell r="J12">
            <v>747.66700000000003</v>
          </cell>
          <cell r="K12">
            <v>925.529</v>
          </cell>
          <cell r="L12">
            <v>925.529</v>
          </cell>
          <cell r="M12">
            <v>1269.5</v>
          </cell>
          <cell r="N12">
            <v>1638.6670000000001</v>
          </cell>
          <cell r="R12">
            <v>-42.405999999999999</v>
          </cell>
          <cell r="S12">
            <v>164.953</v>
          </cell>
          <cell r="T12">
            <v>-310.202</v>
          </cell>
          <cell r="U12">
            <v>-41.49199999999999</v>
          </cell>
          <cell r="V12">
            <v>73.632999999999996</v>
          </cell>
          <cell r="W12">
            <v>95.378</v>
          </cell>
          <cell r="X12">
            <v>153.30600000000001</v>
          </cell>
          <cell r="Y12">
            <v>200</v>
          </cell>
          <cell r="Z12">
            <v>245</v>
          </cell>
          <cell r="AA12">
            <v>386</v>
          </cell>
          <cell r="AB12">
            <v>-7.2367623113777091E-3</v>
          </cell>
          <cell r="AF12">
            <v>2503022.2018599999</v>
          </cell>
          <cell r="AG12">
            <v>0</v>
          </cell>
          <cell r="AH12">
            <v>0</v>
          </cell>
        </row>
        <row r="13">
          <cell r="D13" t="str">
            <v>#N/A N/A</v>
          </cell>
          <cell r="E13" t="str">
            <v>#N/A N/A</v>
          </cell>
          <cell r="F13" t="str">
            <v>#N/A N/A</v>
          </cell>
          <cell r="G13">
            <v>63.901000000000003</v>
          </cell>
          <cell r="H13">
            <v>164.41200000000001</v>
          </cell>
          <cell r="I13">
            <v>1884.3009999999999</v>
          </cell>
          <cell r="J13">
            <v>2460</v>
          </cell>
          <cell r="K13">
            <v>2840.0830000000001</v>
          </cell>
          <cell r="L13">
            <v>2840.0830000000001</v>
          </cell>
          <cell r="M13">
            <v>3484</v>
          </cell>
          <cell r="N13">
            <v>3711</v>
          </cell>
          <cell r="R13" t="str">
            <v>#N/A N/A</v>
          </cell>
          <cell r="S13" t="str">
            <v>#N/A N/A</v>
          </cell>
          <cell r="T13">
            <v>1.3109999999999999</v>
          </cell>
          <cell r="U13">
            <v>13.891</v>
          </cell>
          <cell r="V13">
            <v>722.36900000000003</v>
          </cell>
          <cell r="W13">
            <v>987.4</v>
          </cell>
          <cell r="X13">
            <v>1084.636</v>
          </cell>
          <cell r="Y13">
            <v>1188</v>
          </cell>
          <cell r="Z13">
            <v>1383</v>
          </cell>
          <cell r="AA13">
            <v>1484</v>
          </cell>
          <cell r="AB13" t="e">
            <v>#VALUE!</v>
          </cell>
          <cell r="AF13">
            <v>6065596.502460001</v>
          </cell>
          <cell r="AG13">
            <v>0</v>
          </cell>
          <cell r="AH13">
            <v>0</v>
          </cell>
        </row>
        <row r="14">
          <cell r="D14">
            <v>162.28617135990481</v>
          </cell>
          <cell r="E14">
            <v>170.08244879909776</v>
          </cell>
          <cell r="F14">
            <v>186.99698885274773</v>
          </cell>
          <cell r="G14">
            <v>228.85201444854872</v>
          </cell>
          <cell r="H14">
            <v>267.86714872359329</v>
          </cell>
          <cell r="I14">
            <v>309.8903840359863</v>
          </cell>
          <cell r="J14">
            <v>334.41200000000003</v>
          </cell>
          <cell r="K14">
            <v>383.60599999999999</v>
          </cell>
          <cell r="L14">
            <v>383.60599999999999</v>
          </cell>
          <cell r="M14">
            <v>559.14599999999996</v>
          </cell>
          <cell r="N14">
            <v>624.55799999999999</v>
          </cell>
          <cell r="R14">
            <v>29.610900864533182</v>
          </cell>
          <cell r="S14">
            <v>41.164861619069249</v>
          </cell>
          <cell r="T14">
            <v>50.387071112575867</v>
          </cell>
          <cell r="U14">
            <v>44.154391920268566</v>
          </cell>
          <cell r="V14">
            <v>50.810673865580831</v>
          </cell>
          <cell r="W14">
            <v>46.506</v>
          </cell>
          <cell r="X14">
            <v>62.456000000000003</v>
          </cell>
          <cell r="Y14">
            <v>77.42</v>
          </cell>
          <cell r="Z14">
            <v>111.56</v>
          </cell>
          <cell r="AA14">
            <v>130.37800000000001</v>
          </cell>
          <cell r="AB14">
            <v>0.14245936656825076</v>
          </cell>
          <cell r="AF14">
            <v>397018.32837</v>
          </cell>
          <cell r="AG14" t="str">
            <v>#N/A N/A</v>
          </cell>
          <cell r="AH14" t="e">
            <v>#VALUE!</v>
          </cell>
        </row>
        <row r="15">
          <cell r="D15">
            <v>261.0880384881321</v>
          </cell>
          <cell r="E15">
            <v>375.7651779728115</v>
          </cell>
          <cell r="F15">
            <v>518.7585912216972</v>
          </cell>
          <cell r="G15">
            <v>1319.0511204533695</v>
          </cell>
          <cell r="H15">
            <v>1856.7172882308623</v>
          </cell>
          <cell r="I15">
            <v>2450.3012978888014</v>
          </cell>
          <cell r="J15">
            <v>1805.7850000000001</v>
          </cell>
          <cell r="K15">
            <v>1527.2629999999999</v>
          </cell>
          <cell r="L15">
            <v>1527.2629999999999</v>
          </cell>
          <cell r="M15">
            <v>1605.9780000000001</v>
          </cell>
          <cell r="N15">
            <v>1145.309</v>
          </cell>
          <cell r="R15">
            <v>172.78725854657284</v>
          </cell>
          <cell r="S15">
            <v>245.66976447831081</v>
          </cell>
          <cell r="T15">
            <v>680.62279578641642</v>
          </cell>
          <cell r="U15">
            <v>805.55632765129133</v>
          </cell>
          <cell r="V15">
            <v>1002.5483635215039</v>
          </cell>
          <cell r="W15">
            <v>590.03200000000004</v>
          </cell>
          <cell r="X15">
            <v>433.28800000000001</v>
          </cell>
          <cell r="Y15">
            <v>400.97800000000001</v>
          </cell>
          <cell r="Z15">
            <v>388.28100000000001</v>
          </cell>
          <cell r="AA15" t="str">
            <v>#N/A N/A</v>
          </cell>
          <cell r="AB15">
            <v>0.67055738942251386</v>
          </cell>
          <cell r="AF15">
            <v>200275723.824</v>
          </cell>
          <cell r="AG15">
            <v>1309</v>
          </cell>
          <cell r="AH15">
            <v>9.341944319700932E-3</v>
          </cell>
        </row>
        <row r="16">
          <cell r="D16" t="str">
            <v>#N/A Invalid Security</v>
          </cell>
          <cell r="E16" t="str">
            <v>#N/A Invalid Security</v>
          </cell>
          <cell r="F16" t="str">
            <v>#N/A Invalid Security</v>
          </cell>
          <cell r="G16" t="str">
            <v>#N/A Invalid Security</v>
          </cell>
          <cell r="H16" t="str">
            <v>#N/A Invalid Security</v>
          </cell>
          <cell r="I16" t="str">
            <v>#N/A Invalid Security</v>
          </cell>
          <cell r="J16" t="str">
            <v>#N/A Invalid Security</v>
          </cell>
          <cell r="K16" t="str">
            <v>#N/A Invalid Security</v>
          </cell>
          <cell r="L16" t="str">
            <v>#N/A Invalid Security</v>
          </cell>
          <cell r="M16" t="str">
            <v>#N/A Invalid Security</v>
          </cell>
          <cell r="N16" t="str">
            <v>#N/A Invalid Security</v>
          </cell>
          <cell r="R16" t="str">
            <v>#N/A Invalid Security</v>
          </cell>
          <cell r="S16" t="str">
            <v>#N/A Invalid Security</v>
          </cell>
          <cell r="T16" t="str">
            <v>#N/A Invalid Security</v>
          </cell>
          <cell r="U16" t="str">
            <v>#N/A Invalid Security</v>
          </cell>
          <cell r="V16" t="str">
            <v>#N/A Invalid Security</v>
          </cell>
          <cell r="W16" t="str">
            <v>#N/A Invalid Security</v>
          </cell>
          <cell r="X16" t="str">
            <v>#N/A Invalid Security</v>
          </cell>
          <cell r="Y16" t="str">
            <v>#N/A Invalid Security</v>
          </cell>
          <cell r="Z16" t="str">
            <v>#N/A Invalid Security</v>
          </cell>
          <cell r="AA16" t="str">
            <v>#N/A Invalid Security</v>
          </cell>
          <cell r="AB16" t="e">
            <v>#VALUE!</v>
          </cell>
          <cell r="AF16" t="e">
            <v>#VALUE!</v>
          </cell>
          <cell r="AG16" t="str">
            <v>#N/A Invalid Security</v>
          </cell>
          <cell r="AH16" t="e">
            <v>#VALUE!</v>
          </cell>
        </row>
        <row r="17">
          <cell r="D17" t="str">
            <v>#N/A Invalid Security</v>
          </cell>
          <cell r="E17" t="str">
            <v>#N/A Invalid Security</v>
          </cell>
          <cell r="F17" t="str">
            <v>#N/A Invalid Security</v>
          </cell>
          <cell r="G17" t="str">
            <v>#N/A Invalid Security</v>
          </cell>
          <cell r="H17" t="str">
            <v>#N/A Invalid Security</v>
          </cell>
          <cell r="I17" t="str">
            <v>#N/A Invalid Security</v>
          </cell>
          <cell r="J17" t="str">
            <v>#N/A Invalid Security</v>
          </cell>
          <cell r="K17" t="str">
            <v>#N/A Invalid Security</v>
          </cell>
          <cell r="L17" t="str">
            <v>#N/A Invalid Security</v>
          </cell>
          <cell r="M17" t="str">
            <v>#N/A Invalid Security</v>
          </cell>
          <cell r="N17" t="str">
            <v>#N/A Invalid Security</v>
          </cell>
          <cell r="R17" t="str">
            <v>#N/A Invalid Security</v>
          </cell>
          <cell r="S17" t="str">
            <v>#N/A Invalid Security</v>
          </cell>
          <cell r="T17" t="str">
            <v>#N/A Invalid Security</v>
          </cell>
          <cell r="U17" t="str">
            <v>#N/A Invalid Security</v>
          </cell>
          <cell r="V17" t="str">
            <v>#N/A Invalid Security</v>
          </cell>
          <cell r="W17" t="str">
            <v>#N/A Invalid Security</v>
          </cell>
          <cell r="X17" t="str">
            <v>#N/A Invalid Security</v>
          </cell>
          <cell r="Y17" t="str">
            <v>#N/A Invalid Security</v>
          </cell>
          <cell r="Z17" t="str">
            <v>#N/A Invalid Security</v>
          </cell>
          <cell r="AA17" t="str">
            <v>#N/A Invalid Security</v>
          </cell>
          <cell r="AB17" t="e">
            <v>#VALUE!</v>
          </cell>
          <cell r="AF17" t="e">
            <v>#VALUE!</v>
          </cell>
          <cell r="AG17" t="str">
            <v>#N/A Invalid Security</v>
          </cell>
          <cell r="AH17" t="e">
            <v>#VALUE!</v>
          </cell>
        </row>
        <row r="19">
          <cell r="D19">
            <v>1029.8403723984302</v>
          </cell>
          <cell r="E19">
            <v>1820.9365860580831</v>
          </cell>
          <cell r="F19">
            <v>2902.9718645357884</v>
          </cell>
          <cell r="G19">
            <v>4409.6938286090162</v>
          </cell>
          <cell r="H19">
            <v>6956.6486040022592</v>
          </cell>
          <cell r="I19">
            <v>9830.7988923554713</v>
          </cell>
          <cell r="J19">
            <v>12811.264999999999</v>
          </cell>
          <cell r="K19">
            <v>15692.869000000001</v>
          </cell>
          <cell r="L19">
            <v>15692.869000000001</v>
          </cell>
          <cell r="M19">
            <v>24358.607</v>
          </cell>
          <cell r="N19" t="str">
            <v>#N/A N/A</v>
          </cell>
          <cell r="R19">
            <v>939.08387653132615</v>
          </cell>
          <cell r="S19">
            <v>1534.1378260211868</v>
          </cell>
          <cell r="T19">
            <v>2066.9559695612302</v>
          </cell>
          <cell r="U19">
            <v>2784.5208256883543</v>
          </cell>
          <cell r="V19">
            <v>3396.5437012306138</v>
          </cell>
          <cell r="W19">
            <v>5211.25</v>
          </cell>
          <cell r="X19">
            <v>6626.7390000000005</v>
          </cell>
          <cell r="Y19">
            <v>8319.4249999999993</v>
          </cell>
          <cell r="Z19">
            <v>11043.844999999999</v>
          </cell>
          <cell r="AA19" t="str">
            <v>#N/A N/A</v>
          </cell>
          <cell r="AB19">
            <v>0.43664245195411877</v>
          </cell>
          <cell r="AF19">
            <v>1209679018.1815999</v>
          </cell>
          <cell r="AG19">
            <v>9035</v>
          </cell>
          <cell r="AH19">
            <v>9.7168096666598938E-3</v>
          </cell>
        </row>
        <row r="20">
          <cell r="D20">
            <v>390.14096545729814</v>
          </cell>
          <cell r="E20">
            <v>551.85489043903453</v>
          </cell>
          <cell r="F20">
            <v>797.14999601689271</v>
          </cell>
          <cell r="G20">
            <v>1100.5529686013285</v>
          </cell>
          <cell r="H20">
            <v>1358.8370913569654</v>
          </cell>
          <cell r="I20">
            <v>1594.0594824729067</v>
          </cell>
          <cell r="J20">
            <v>1609.6100000000001</v>
          </cell>
          <cell r="K20">
            <v>1700.848</v>
          </cell>
          <cell r="L20">
            <v>1700.848</v>
          </cell>
          <cell r="M20" t="str">
            <v>#N/A N/A</v>
          </cell>
          <cell r="N20" t="str">
            <v>#N/A N/A</v>
          </cell>
          <cell r="R20">
            <v>295.29565571541917</v>
          </cell>
          <cell r="S20">
            <v>445.15471324266315</v>
          </cell>
          <cell r="T20">
            <v>598.98380097457846</v>
          </cell>
          <cell r="U20">
            <v>718.72582290071807</v>
          </cell>
          <cell r="V20">
            <v>664.56943017438039</v>
          </cell>
          <cell r="W20">
            <v>660.44600000000003</v>
          </cell>
          <cell r="X20">
            <v>691.76400000000001</v>
          </cell>
          <cell r="Y20">
            <v>722.553</v>
          </cell>
          <cell r="Z20" t="str">
            <v>#N/A N/A</v>
          </cell>
          <cell r="AA20" t="str">
            <v>#N/A N/A</v>
          </cell>
          <cell r="AB20">
            <v>0.34514384982297752</v>
          </cell>
          <cell r="AF20">
            <v>428416724.59999996</v>
          </cell>
          <cell r="AG20">
            <v>42137</v>
          </cell>
          <cell r="AH20">
            <v>0.12919209579253976</v>
          </cell>
        </row>
        <row r="21">
          <cell r="D21" t="str">
            <v>#N/A Invalid Security</v>
          </cell>
          <cell r="E21" t="str">
            <v>#N/A Invalid Security</v>
          </cell>
          <cell r="F21" t="str">
            <v>#N/A Invalid Security</v>
          </cell>
          <cell r="G21" t="str">
            <v>#N/A Invalid Security</v>
          </cell>
          <cell r="H21" t="str">
            <v>#N/A Invalid Security</v>
          </cell>
          <cell r="I21" t="str">
            <v>#N/A Invalid Security</v>
          </cell>
          <cell r="J21" t="str">
            <v>#N/A Invalid Security</v>
          </cell>
          <cell r="K21" t="str">
            <v>#N/A Invalid Security</v>
          </cell>
          <cell r="L21" t="str">
            <v>#N/A Invalid Security</v>
          </cell>
          <cell r="M21" t="str">
            <v>#N/A Invalid Security</v>
          </cell>
          <cell r="N21" t="str">
            <v>#N/A Invalid Security</v>
          </cell>
          <cell r="R21" t="str">
            <v>#N/A Invalid Security</v>
          </cell>
          <cell r="S21" t="str">
            <v>#N/A Invalid Security</v>
          </cell>
          <cell r="T21" t="str">
            <v>#N/A Invalid Security</v>
          </cell>
          <cell r="U21" t="str">
            <v>#N/A Invalid Security</v>
          </cell>
          <cell r="V21" t="str">
            <v>#N/A Invalid Security</v>
          </cell>
          <cell r="W21" t="str">
            <v>#N/A Invalid Security</v>
          </cell>
          <cell r="X21" t="str">
            <v>#N/A Invalid Security</v>
          </cell>
          <cell r="Y21" t="str">
            <v>#N/A Invalid Security</v>
          </cell>
          <cell r="Z21" t="str">
            <v>#N/A Invalid Security</v>
          </cell>
          <cell r="AA21" t="str">
            <v>#N/A Invalid Security</v>
          </cell>
          <cell r="AB21" t="e">
            <v>#VALUE!</v>
          </cell>
          <cell r="AF21" t="e">
            <v>#VALUE!</v>
          </cell>
          <cell r="AG21" t="str">
            <v>#N/A Invalid Security</v>
          </cell>
          <cell r="AH21" t="e">
            <v>#VALUE!</v>
          </cell>
        </row>
        <row r="22">
          <cell r="D22" t="str">
            <v>#N/A Invalid Security</v>
          </cell>
          <cell r="E22" t="str">
            <v>#N/A Invalid Security</v>
          </cell>
          <cell r="F22" t="str">
            <v>#N/A Invalid Security</v>
          </cell>
          <cell r="G22" t="str">
            <v>#N/A Invalid Security</v>
          </cell>
          <cell r="H22" t="str">
            <v>#N/A Invalid Security</v>
          </cell>
          <cell r="I22" t="str">
            <v>#N/A Invalid Security</v>
          </cell>
          <cell r="J22" t="str">
            <v>#N/A Invalid Security</v>
          </cell>
          <cell r="K22" t="str">
            <v>#N/A Invalid Security</v>
          </cell>
          <cell r="L22" t="str">
            <v>#N/A Invalid Security</v>
          </cell>
          <cell r="M22" t="str">
            <v>#N/A Invalid Security</v>
          </cell>
          <cell r="N22" t="str">
            <v>#N/A Invalid Security</v>
          </cell>
          <cell r="R22" t="str">
            <v>#N/A Invalid Security</v>
          </cell>
          <cell r="S22" t="str">
            <v>#N/A Invalid Security</v>
          </cell>
          <cell r="T22" t="str">
            <v>#N/A Invalid Security</v>
          </cell>
          <cell r="U22" t="str">
            <v>#N/A Invalid Security</v>
          </cell>
          <cell r="V22" t="str">
            <v>#N/A Invalid Security</v>
          </cell>
          <cell r="W22" t="str">
            <v>#N/A Invalid Security</v>
          </cell>
          <cell r="X22" t="str">
            <v>#N/A Invalid Security</v>
          </cell>
          <cell r="Y22" t="str">
            <v>#N/A Invalid Security</v>
          </cell>
          <cell r="Z22" t="str">
            <v>#N/A Invalid Security</v>
          </cell>
          <cell r="AA22" t="str">
            <v>#N/A Invalid Security</v>
          </cell>
          <cell r="AB22" t="e">
            <v>#VALUE!</v>
          </cell>
          <cell r="AF22" t="e">
            <v>#VALUE!</v>
          </cell>
          <cell r="AG22" t="str">
            <v>#N/A Invalid Security</v>
          </cell>
          <cell r="AH22" t="e">
            <v>#VALUE!</v>
          </cell>
        </row>
        <row r="24">
          <cell r="D24">
            <v>14684.034249539716</v>
          </cell>
          <cell r="E24">
            <v>18371.153963073441</v>
          </cell>
          <cell r="F24">
            <v>15467.813947774936</v>
          </cell>
          <cell r="G24">
            <v>11869.037938899592</v>
          </cell>
          <cell r="H24">
            <v>8208.1805936976161</v>
          </cell>
          <cell r="I24">
            <v>7690.0203554510026</v>
          </cell>
          <cell r="J24">
            <v>5755.9059999999999</v>
          </cell>
          <cell r="K24">
            <v>5362.28</v>
          </cell>
          <cell r="L24">
            <v>5362.28</v>
          </cell>
          <cell r="M24">
            <v>5032.241</v>
          </cell>
          <cell r="N24">
            <v>4862.9650000000001</v>
          </cell>
          <cell r="R24">
            <v>5629.0336743533308</v>
          </cell>
          <cell r="S24">
            <v>3921.66746910136</v>
          </cell>
          <cell r="T24">
            <v>2081.2896777645383</v>
          </cell>
          <cell r="U24">
            <v>-314.27101928492425</v>
          </cell>
          <cell r="V24">
            <v>-287.70620770155375</v>
          </cell>
          <cell r="W24">
            <v>-217.405</v>
          </cell>
          <cell r="X24">
            <v>321.85399999999998</v>
          </cell>
          <cell r="Y24">
            <v>350.03100000000001</v>
          </cell>
          <cell r="Z24">
            <v>484.387</v>
          </cell>
          <cell r="AA24">
            <v>91.701000000000008</v>
          </cell>
          <cell r="AB24">
            <v>-1.3821995421452367</v>
          </cell>
          <cell r="AF24">
            <v>1590234525.0000002</v>
          </cell>
          <cell r="AG24">
            <v>0</v>
          </cell>
          <cell r="AH24">
            <v>0</v>
          </cell>
        </row>
        <row r="25">
          <cell r="D25">
            <v>60420</v>
          </cell>
          <cell r="E25">
            <v>58437</v>
          </cell>
          <cell r="F25">
            <v>62484</v>
          </cell>
          <cell r="G25">
            <v>69943</v>
          </cell>
          <cell r="H25">
            <v>73723</v>
          </cell>
          <cell r="I25">
            <v>77849</v>
          </cell>
          <cell r="J25">
            <v>86458.87</v>
          </cell>
          <cell r="K25">
            <v>99618.69</v>
          </cell>
          <cell r="L25">
            <v>99618.69</v>
          </cell>
          <cell r="M25">
            <v>109875</v>
          </cell>
          <cell r="N25">
            <v>104446</v>
          </cell>
          <cell r="R25">
            <v>23255</v>
          </cell>
          <cell r="S25">
            <v>26830</v>
          </cell>
          <cell r="T25">
            <v>29927</v>
          </cell>
          <cell r="U25">
            <v>30923</v>
          </cell>
          <cell r="V25">
            <v>30519</v>
          </cell>
          <cell r="W25">
            <v>31935.125</v>
          </cell>
          <cell r="X25">
            <v>34080.556000000004</v>
          </cell>
          <cell r="Y25">
            <v>37820.444000000003</v>
          </cell>
          <cell r="Z25">
            <v>39029.25</v>
          </cell>
          <cell r="AA25">
            <v>36460</v>
          </cell>
          <cell r="AB25">
            <v>9.9651553751358479E-2</v>
          </cell>
          <cell r="AF25">
            <v>357402617.2379961</v>
          </cell>
          <cell r="AG25">
            <v>22645</v>
          </cell>
          <cell r="AH25">
            <v>7.7161793418499061E-2</v>
          </cell>
        </row>
        <row r="26">
          <cell r="D26">
            <v>77891.865286381581</v>
          </cell>
          <cell r="E26">
            <v>77236.588889113671</v>
          </cell>
          <cell r="F26">
            <v>77793.852250731507</v>
          </cell>
          <cell r="G26">
            <v>84029.399944392964</v>
          </cell>
          <cell r="H26">
            <v>82293.356199262082</v>
          </cell>
          <cell r="I26">
            <v>82305.432648522255</v>
          </cell>
          <cell r="J26">
            <v>75422.213000000003</v>
          </cell>
          <cell r="K26">
            <v>75257.81</v>
          </cell>
          <cell r="L26">
            <v>75257.81</v>
          </cell>
          <cell r="M26">
            <v>77596.312999999995</v>
          </cell>
          <cell r="N26">
            <v>83665.286999999997</v>
          </cell>
          <cell r="R26">
            <v>1775.1442183763859</v>
          </cell>
          <cell r="S26">
            <v>4343.4301803439139</v>
          </cell>
          <cell r="T26">
            <v>6145.3099566881683</v>
          </cell>
          <cell r="U26">
            <v>3197.8283387084248</v>
          </cell>
          <cell r="V26">
            <v>6785.1611564677114</v>
          </cell>
          <cell r="W26">
            <v>3921.2820000000002</v>
          </cell>
          <cell r="X26">
            <v>4879.0330000000004</v>
          </cell>
          <cell r="Y26">
            <v>6581.5730000000003</v>
          </cell>
          <cell r="Z26">
            <v>6897.95</v>
          </cell>
          <cell r="AA26">
            <v>7538.2570000000005</v>
          </cell>
          <cell r="AB26">
            <v>0.21676628698033173</v>
          </cell>
          <cell r="AF26">
            <v>1949444099.622</v>
          </cell>
          <cell r="AG26">
            <v>1063145</v>
          </cell>
          <cell r="AH26">
            <v>0.53122266341540891</v>
          </cell>
        </row>
        <row r="27">
          <cell r="D27" t="str">
            <v>#N/A Invalid Security</v>
          </cell>
          <cell r="E27" t="str">
            <v>#N/A Invalid Security</v>
          </cell>
          <cell r="F27" t="str">
            <v>#N/A Invalid Security</v>
          </cell>
          <cell r="G27" t="str">
            <v>#N/A Invalid Security</v>
          </cell>
          <cell r="H27" t="str">
            <v>#N/A Invalid Security</v>
          </cell>
          <cell r="I27" t="str">
            <v>#N/A Invalid Security</v>
          </cell>
          <cell r="J27" t="str">
            <v>#N/A Invalid Security</v>
          </cell>
          <cell r="K27" t="str">
            <v>#N/A Invalid Security</v>
          </cell>
          <cell r="L27" t="str">
            <v>#N/A Invalid Security</v>
          </cell>
          <cell r="M27" t="str">
            <v>#N/A Invalid Security</v>
          </cell>
          <cell r="N27" t="str">
            <v>#N/A Invalid Security</v>
          </cell>
          <cell r="R27" t="str">
            <v>#N/A Invalid Security</v>
          </cell>
          <cell r="S27" t="str">
            <v>#N/A Invalid Security</v>
          </cell>
          <cell r="T27" t="str">
            <v>#N/A Invalid Security</v>
          </cell>
          <cell r="U27" t="str">
            <v>#N/A Invalid Security</v>
          </cell>
          <cell r="V27" t="str">
            <v>#N/A Invalid Security</v>
          </cell>
          <cell r="W27" t="str">
            <v>#N/A Invalid Security</v>
          </cell>
          <cell r="X27" t="str">
            <v>#N/A Invalid Security</v>
          </cell>
          <cell r="Y27" t="str">
            <v>#N/A Invalid Security</v>
          </cell>
          <cell r="Z27" t="str">
            <v>#N/A Invalid Security</v>
          </cell>
          <cell r="AA27" t="str">
            <v>#N/A Invalid Security</v>
          </cell>
          <cell r="AB27" t="e">
            <v>#VALUE!</v>
          </cell>
          <cell r="AF27" t="e">
            <v>#VALUE!</v>
          </cell>
          <cell r="AG27" t="str">
            <v>#N/A Invalid Security</v>
          </cell>
          <cell r="AH27" t="e">
            <v>#VALUE!</v>
          </cell>
        </row>
        <row r="29">
          <cell r="D29">
            <v>21795.55</v>
          </cell>
          <cell r="E29">
            <v>23650.562999999998</v>
          </cell>
          <cell r="F29">
            <v>29321</v>
          </cell>
          <cell r="G29">
            <v>37905</v>
          </cell>
          <cell r="H29">
            <v>50175</v>
          </cell>
          <cell r="I29">
            <v>59825</v>
          </cell>
          <cell r="J29">
            <v>53014.675999999999</v>
          </cell>
          <cell r="K29">
            <v>63426.059000000001</v>
          </cell>
          <cell r="L29">
            <v>63426.059000000001</v>
          </cell>
          <cell r="M29">
            <v>83775.199999999997</v>
          </cell>
          <cell r="N29">
            <v>94915.125</v>
          </cell>
          <cell r="R29">
            <v>9836.4939999999988</v>
          </cell>
          <cell r="S29">
            <v>11777</v>
          </cell>
          <cell r="T29">
            <v>13593</v>
          </cell>
          <cell r="U29">
            <v>15722</v>
          </cell>
          <cell r="V29">
            <v>17905</v>
          </cell>
          <cell r="W29">
            <v>26154.543000000001</v>
          </cell>
          <cell r="X29">
            <v>31406.085999999999</v>
          </cell>
          <cell r="Y29">
            <v>37031.582999999999</v>
          </cell>
          <cell r="Z29">
            <v>42778.444000000003</v>
          </cell>
          <cell r="AA29">
            <v>48927</v>
          </cell>
          <cell r="AB29">
            <v>0.16920093374132916</v>
          </cell>
          <cell r="AF29">
            <v>391056711.45661998</v>
          </cell>
          <cell r="AG29">
            <v>5241</v>
          </cell>
          <cell r="AH29">
            <v>1.5811342806920588E-2</v>
          </cell>
        </row>
        <row r="30">
          <cell r="D30">
            <v>37491</v>
          </cell>
          <cell r="E30">
            <v>42905</v>
          </cell>
          <cell r="F30">
            <v>65225</v>
          </cell>
          <cell r="G30">
            <v>108249</v>
          </cell>
          <cell r="H30">
            <v>156508</v>
          </cell>
          <cell r="I30">
            <v>170910</v>
          </cell>
          <cell r="J30">
            <v>180253.06299999999</v>
          </cell>
          <cell r="K30">
            <v>196756.68799999999</v>
          </cell>
          <cell r="L30">
            <v>196756.68799999999</v>
          </cell>
          <cell r="M30">
            <v>205691.5</v>
          </cell>
          <cell r="N30">
            <v>204468</v>
          </cell>
          <cell r="R30">
            <v>12474</v>
          </cell>
          <cell r="S30">
            <v>19412</v>
          </cell>
          <cell r="T30">
            <v>35604</v>
          </cell>
          <cell r="U30">
            <v>58518</v>
          </cell>
          <cell r="V30">
            <v>55756</v>
          </cell>
          <cell r="W30">
            <v>59728.529000000002</v>
          </cell>
          <cell r="X30">
            <v>64805.940999999999</v>
          </cell>
          <cell r="Y30">
            <v>70473.5</v>
          </cell>
          <cell r="Z30" t="str">
            <v>#N/A N/A</v>
          </cell>
          <cell r="AA30" t="str">
            <v>#N/A N/A</v>
          </cell>
          <cell r="AB30">
            <v>0.67402232288981745</v>
          </cell>
          <cell r="AF30">
            <v>575074746.68000007</v>
          </cell>
          <cell r="AG30">
            <v>31040</v>
          </cell>
          <cell r="AH30">
            <v>7.0765662300295754E-2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I Company Debt with Ownership"/>
      <sheetName val="Sheet1 (2)"/>
      <sheetName val="__FDSCACHE__"/>
      <sheetName val="Company at a Glance"/>
    </sheetNames>
    <sheetDataSet>
      <sheetData sheetId="0">
        <row r="9">
          <cell r="O9">
            <v>0.97428300000000001</v>
          </cell>
          <cell r="P9">
            <v>0.97428300000000001</v>
          </cell>
        </row>
        <row r="10">
          <cell r="O10">
            <v>0.97278200000000004</v>
          </cell>
          <cell r="P10">
            <v>0.98094700000000001</v>
          </cell>
        </row>
        <row r="19">
          <cell r="O19">
            <v>0.96987800000000002</v>
          </cell>
          <cell r="P19">
            <v>0.98662499999999997</v>
          </cell>
        </row>
        <row r="20">
          <cell r="O20">
            <v>0.94798300000000002</v>
          </cell>
          <cell r="P20">
            <v>0.96640599999999999</v>
          </cell>
        </row>
        <row r="21">
          <cell r="O21">
            <v>0.96928599999999998</v>
          </cell>
          <cell r="P21">
            <v>0.997587</v>
          </cell>
        </row>
        <row r="22">
          <cell r="O22">
            <v>0.98566699999999996</v>
          </cell>
          <cell r="P22">
            <v>0.94277500000000003</v>
          </cell>
        </row>
        <row r="23">
          <cell r="O23">
            <v>0.97726400000000002</v>
          </cell>
          <cell r="P23">
            <v>0.96614</v>
          </cell>
        </row>
        <row r="24">
          <cell r="O24">
            <v>0.95484400000000003</v>
          </cell>
          <cell r="P24">
            <v>0.9647</v>
          </cell>
        </row>
        <row r="25">
          <cell r="O25">
            <v>0.98739500000000002</v>
          </cell>
          <cell r="P25">
            <v>1.0147139999999999</v>
          </cell>
        </row>
        <row r="26">
          <cell r="O26" t="str">
            <v xml:space="preserve"> </v>
          </cell>
          <cell r="P26" t="str">
            <v xml:space="preserve"> </v>
          </cell>
        </row>
        <row r="27">
          <cell r="O27">
            <v>1.0195099999999999</v>
          </cell>
          <cell r="P27">
            <v>1.0306599999999999</v>
          </cell>
        </row>
        <row r="28">
          <cell r="O28">
            <v>0.97566200000000003</v>
          </cell>
          <cell r="P28">
            <v>0.97566200000000003</v>
          </cell>
        </row>
        <row r="29">
          <cell r="O29">
            <v>0.97290299999999996</v>
          </cell>
          <cell r="P29">
            <v>0.97290299999999996</v>
          </cell>
        </row>
        <row r="30">
          <cell r="O30">
            <v>0.969611</v>
          </cell>
          <cell r="P30">
            <v>0.96557999999999999</v>
          </cell>
        </row>
        <row r="31">
          <cell r="O31">
            <v>0.98050499999999996</v>
          </cell>
          <cell r="P31">
            <v>1.00732</v>
          </cell>
        </row>
        <row r="32">
          <cell r="O32" t="str">
            <v xml:space="preserve"> </v>
          </cell>
          <cell r="P32" t="str">
            <v xml:space="preserve"> </v>
          </cell>
        </row>
        <row r="33">
          <cell r="O33">
            <v>0.98662499999999997</v>
          </cell>
          <cell r="P33">
            <v>0.98662499999999997</v>
          </cell>
        </row>
        <row r="34">
          <cell r="O34">
            <v>0.98662499999999997</v>
          </cell>
          <cell r="P34">
            <v>0.99715500000000001</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__FDSCACHE__"/>
      <sheetName val="Company at a Glance"/>
      <sheetName val="FI Company Debt with Ownership"/>
    </sheetNames>
    <sheetDataSet>
      <sheetData sheetId="0">
        <row r="9">
          <cell r="O9">
            <v>0.97428300000000001</v>
          </cell>
          <cell r="P9">
            <v>0.97428300000000001</v>
          </cell>
        </row>
        <row r="10">
          <cell r="O10">
            <v>0.97278200000000004</v>
          </cell>
          <cell r="P10">
            <v>0.98094700000000001</v>
          </cell>
        </row>
        <row r="19">
          <cell r="O19">
            <v>0.96987800000000002</v>
          </cell>
          <cell r="P19">
            <v>0.98662499999999997</v>
          </cell>
        </row>
        <row r="20">
          <cell r="O20">
            <v>0.94798300000000002</v>
          </cell>
          <cell r="P20">
            <v>0.96640599999999999</v>
          </cell>
        </row>
        <row r="21">
          <cell r="O21">
            <v>0.96928599999999998</v>
          </cell>
          <cell r="P21">
            <v>0.997587</v>
          </cell>
        </row>
        <row r="22">
          <cell r="O22">
            <v>0.98566699999999996</v>
          </cell>
          <cell r="P22">
            <v>0.94277500000000003</v>
          </cell>
        </row>
        <row r="23">
          <cell r="O23">
            <v>0.97726400000000002</v>
          </cell>
          <cell r="P23">
            <v>0.96614</v>
          </cell>
        </row>
        <row r="24">
          <cell r="O24">
            <v>0.95484400000000003</v>
          </cell>
          <cell r="P24">
            <v>0.9647</v>
          </cell>
        </row>
        <row r="25">
          <cell r="O25">
            <v>0.98739500000000002</v>
          </cell>
          <cell r="P25">
            <v>1.0147139999999999</v>
          </cell>
        </row>
        <row r="26">
          <cell r="O26" t="str">
            <v xml:space="preserve"> </v>
          </cell>
          <cell r="P26" t="str">
            <v xml:space="preserve"> </v>
          </cell>
        </row>
        <row r="27">
          <cell r="O27">
            <v>1.0195099999999999</v>
          </cell>
          <cell r="P27">
            <v>1.0306599999999999</v>
          </cell>
        </row>
        <row r="28">
          <cell r="O28">
            <v>0.97566200000000003</v>
          </cell>
          <cell r="P28">
            <v>0.97566200000000003</v>
          </cell>
        </row>
        <row r="29">
          <cell r="O29">
            <v>0.97290299999999996</v>
          </cell>
          <cell r="P29">
            <v>0.97290299999999996</v>
          </cell>
        </row>
        <row r="30">
          <cell r="O30">
            <v>0.969611</v>
          </cell>
          <cell r="P30">
            <v>0.96557999999999999</v>
          </cell>
        </row>
        <row r="31">
          <cell r="O31">
            <v>0.98050499999999996</v>
          </cell>
          <cell r="P31">
            <v>1.00732</v>
          </cell>
        </row>
        <row r="32">
          <cell r="O32" t="str">
            <v xml:space="preserve"> </v>
          </cell>
          <cell r="P32" t="str">
            <v xml:space="preserve"> </v>
          </cell>
        </row>
        <row r="33">
          <cell r="O33">
            <v>0.98662499999999997</v>
          </cell>
          <cell r="P33">
            <v>0.98662499999999997</v>
          </cell>
        </row>
        <row r="34">
          <cell r="O34">
            <v>0.98662499999999997</v>
          </cell>
          <cell r="P34">
            <v>0.99715500000000001</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ynn DCF Assumptions (LBO)"/>
      <sheetName val="Wynn Financials (LBO)"/>
      <sheetName val="Wynn LBO Assumptions"/>
      <sheetName val="LBO_Summary"/>
      <sheetName val="Wynn LBO Calcs"/>
      <sheetName val="Unused Sheets ---&gt;"/>
      <sheetName val="LBO Analysis - MBA Only"/>
      <sheetName val="LBO_Summary (2)"/>
      <sheetName val="LBO_Summary (prelim)"/>
      <sheetName val="DCF Solution"/>
      <sheetName val="&gt;&gt;&gt; Original Data"/>
      <sheetName val="Cashflow Statement"/>
      <sheetName val="Income Statement"/>
      <sheetName val="Balance Sheet"/>
    </sheetNames>
    <sheetDataSet>
      <sheetData sheetId="0" refreshError="1">
        <row r="71">
          <cell r="O71">
            <v>300000</v>
          </cell>
        </row>
        <row r="90">
          <cell r="B90" t="str">
            <v>Inventory (% of COGS)</v>
          </cell>
          <cell r="C90" t="str">
            <v>[%]</v>
          </cell>
          <cell r="D90" t="str">
            <v>[calc],[input]</v>
          </cell>
          <cell r="F90">
            <v>3.5928475416120487E-2</v>
          </cell>
          <cell r="G90">
            <v>5.0143139957918303E-2</v>
          </cell>
          <cell r="H90">
            <v>4.4583540442673035E-2</v>
          </cell>
          <cell r="I90">
            <v>2.7536488296350411E-2</v>
          </cell>
          <cell r="J90">
            <v>1.865167789004463E-2</v>
          </cell>
          <cell r="K90">
            <v>3.5368664400621377E-2</v>
          </cell>
          <cell r="O90">
            <v>3.5368664400621377E-2</v>
          </cell>
          <cell r="P90">
            <v>3.5368664400621377E-2</v>
          </cell>
          <cell r="Q90">
            <v>3.5368664400621377E-2</v>
          </cell>
          <cell r="R90">
            <v>3.5368664400621377E-2</v>
          </cell>
          <cell r="S90">
            <v>3.5368664400621377E-2</v>
          </cell>
          <cell r="T90">
            <v>3.5368664400621377E-2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ynn DCF Assumptions (LBO)"/>
      <sheetName val="Wynn Financials (LBO)"/>
      <sheetName val="Wynn LBO Assumptions"/>
      <sheetName val="LBO_Summary"/>
      <sheetName val="Wynn LBO Calcs"/>
      <sheetName val="Unused Sheets ---&gt;"/>
      <sheetName val="LBO Analysis - MBA Only"/>
      <sheetName val="LBO_Summary (2)"/>
      <sheetName val="LBO_Summary (prelim)"/>
      <sheetName val="DCF Solution"/>
      <sheetName val="&gt;&gt;&gt; Original Data"/>
      <sheetName val="Cashflow Statement"/>
      <sheetName val="Income Statement"/>
      <sheetName val="Balance Sheet"/>
    </sheetNames>
    <sheetDataSet>
      <sheetData sheetId="0" refreshError="1">
        <row r="71">
          <cell r="O71">
            <v>300000</v>
          </cell>
        </row>
        <row r="90">
          <cell r="B90" t="str">
            <v>Inventory (% of COGS)</v>
          </cell>
          <cell r="C90" t="str">
            <v>[%]</v>
          </cell>
          <cell r="D90" t="str">
            <v>[calc],[input]</v>
          </cell>
          <cell r="F90">
            <v>3.5928475416120487E-2</v>
          </cell>
          <cell r="G90">
            <v>5.0143139957918303E-2</v>
          </cell>
          <cell r="H90">
            <v>4.4583540442673035E-2</v>
          </cell>
          <cell r="I90">
            <v>2.7536488296350411E-2</v>
          </cell>
          <cell r="J90">
            <v>1.865167789004463E-2</v>
          </cell>
          <cell r="K90">
            <v>3.5368664400621377E-2</v>
          </cell>
          <cell r="O90">
            <v>3.5368664400621377E-2</v>
          </cell>
          <cell r="P90">
            <v>3.5368664400621377E-2</v>
          </cell>
          <cell r="Q90">
            <v>3.5368664400621377E-2</v>
          </cell>
          <cell r="R90">
            <v>3.5368664400621377E-2</v>
          </cell>
          <cell r="S90">
            <v>3.5368664400621377E-2</v>
          </cell>
          <cell r="T90">
            <v>3.5368664400621377E-2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F1ED3-ECA5-42C7-9A5B-55477FFF102A}">
  <dimension ref="A1:CT129"/>
  <sheetViews>
    <sheetView showGridLines="0" topLeftCell="A79" workbookViewId="0">
      <selection activeCell="B90" sqref="B90:R107"/>
    </sheetView>
  </sheetViews>
  <sheetFormatPr defaultColWidth="0" defaultRowHeight="14.4" zeroHeight="1"/>
  <cols>
    <col min="1" max="1" width="2.77734375" customWidth="1"/>
    <col min="2" max="2" width="31.44140625" customWidth="1"/>
    <col min="3" max="3" width="8.44140625" customWidth="1"/>
    <col min="4" max="5" width="0" hidden="1" customWidth="1"/>
    <col min="6" max="18" width="7.109375" customWidth="1"/>
    <col min="19" max="19" width="3.33203125" customWidth="1"/>
    <col min="20" max="20" width="6.109375" bestFit="1" customWidth="1"/>
    <col min="21" max="21" width="5.44140625" customWidth="1"/>
    <col min="22" max="22" width="2.109375" customWidth="1"/>
    <col min="23" max="98" width="0" hidden="1" customWidth="1"/>
    <col min="99" max="16384" width="8.88671875" hidden="1"/>
  </cols>
  <sheetData>
    <row r="1" spans="1:98" s="45" customFormat="1" ht="13.2">
      <c r="A1" s="49" t="str">
        <f>'DCF - Assumptions'!$E$8&amp;" | Discounted Cash Flows - Cashflow Summary"</f>
        <v>Tapestry | Discounted Cash Flows - Cashflow Summary</v>
      </c>
      <c r="B1" s="48"/>
      <c r="C1" s="47"/>
      <c r="D1" s="47"/>
      <c r="E1" s="47"/>
      <c r="F1" s="47"/>
      <c r="G1" s="47"/>
      <c r="H1" s="47"/>
      <c r="I1" s="47"/>
      <c r="J1" s="47"/>
      <c r="K1" s="47"/>
      <c r="L1" s="47"/>
      <c r="M1" s="47"/>
      <c r="N1" s="47"/>
      <c r="O1" s="47"/>
      <c r="P1" s="47"/>
      <c r="Q1" s="47"/>
      <c r="R1" s="47"/>
      <c r="T1" s="46" t="str">
        <f>IF(T6=U6,"OK","Check")</f>
        <v>OK</v>
      </c>
      <c r="U1" s="46" t="str">
        <f>IF(T5=U5,"OK","Check")</f>
        <v>OK</v>
      </c>
    </row>
    <row r="2" spans="1:98" s="43" customFormat="1" ht="1.95" customHeight="1">
      <c r="A2" s="44"/>
      <c r="S2" s="42"/>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row>
    <row r="3" spans="1:98" s="176" customFormat="1" ht="3" customHeight="1">
      <c r="A3" s="40"/>
      <c r="B3" s="39"/>
      <c r="C3" s="39"/>
      <c r="D3" s="39"/>
      <c r="E3" s="39"/>
      <c r="F3" s="39"/>
      <c r="G3" s="39"/>
      <c r="H3" s="39"/>
      <c r="I3" s="39"/>
      <c r="J3" s="39"/>
      <c r="K3" s="39"/>
      <c r="L3" s="39"/>
      <c r="M3" s="39"/>
      <c r="N3" s="39"/>
      <c r="O3" s="39"/>
      <c r="P3" s="39"/>
      <c r="Q3" s="39"/>
      <c r="R3" s="39"/>
      <c r="S3" s="38"/>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row>
    <row r="4" spans="1:98" s="4" customFormat="1" ht="11.25" customHeight="1">
      <c r="A4" s="36"/>
      <c r="B4" s="2"/>
      <c r="C4" s="2"/>
      <c r="D4" s="2"/>
      <c r="E4" s="2"/>
      <c r="F4" s="2"/>
      <c r="G4" s="2"/>
      <c r="H4" s="2"/>
      <c r="I4" s="2"/>
      <c r="J4" s="2"/>
      <c r="K4" s="2"/>
      <c r="L4" s="2"/>
      <c r="M4" s="2"/>
      <c r="N4" s="2"/>
      <c r="O4" s="2"/>
      <c r="P4" s="2"/>
      <c r="Q4" s="2"/>
      <c r="R4" s="2"/>
      <c r="S4" s="1"/>
      <c r="T4" s="1"/>
      <c r="U4" s="1"/>
      <c r="V4" s="1"/>
    </row>
    <row r="5" spans="1:98">
      <c r="B5" s="727" t="s">
        <v>65</v>
      </c>
      <c r="C5" s="728"/>
      <c r="D5" s="728"/>
      <c r="E5" s="728"/>
      <c r="F5" s="728"/>
      <c r="G5" s="728"/>
      <c r="H5" s="728"/>
      <c r="I5" s="728"/>
      <c r="J5" s="728"/>
      <c r="K5" s="728"/>
      <c r="L5" s="728"/>
      <c r="M5" s="728"/>
      <c r="N5" s="728"/>
      <c r="O5" s="728"/>
      <c r="P5" s="728"/>
      <c r="Q5" s="728"/>
      <c r="R5" s="729"/>
      <c r="S5" s="1"/>
      <c r="T5" s="6">
        <f>ROWS(B5:B107)</f>
        <v>103</v>
      </c>
      <c r="U5" s="35">
        <v>103</v>
      </c>
      <c r="V5" s="1"/>
    </row>
    <row r="6" spans="1:98">
      <c r="B6" s="862"/>
      <c r="C6" s="863"/>
      <c r="D6" s="863"/>
      <c r="E6" s="863"/>
      <c r="F6" s="863"/>
      <c r="G6" s="863"/>
      <c r="H6" s="863"/>
      <c r="I6" s="864" t="s">
        <v>29</v>
      </c>
      <c r="J6" s="864"/>
      <c r="K6" s="805"/>
      <c r="L6" s="805"/>
      <c r="M6" s="805"/>
      <c r="N6" s="805"/>
      <c r="O6" s="805"/>
      <c r="P6" s="805"/>
      <c r="Q6" s="805"/>
      <c r="R6" s="806"/>
      <c r="S6" s="1"/>
      <c r="T6" s="6">
        <f>SUM(T7:T107)</f>
        <v>90</v>
      </c>
      <c r="U6" s="35">
        <v>90</v>
      </c>
      <c r="V6" s="1"/>
    </row>
    <row r="7" spans="1:98">
      <c r="B7" s="807" t="s">
        <v>28</v>
      </c>
      <c r="C7" s="808"/>
      <c r="D7" s="808"/>
      <c r="E7" s="808"/>
      <c r="F7" s="808">
        <f>'DCF - Assumptions'!F$7</f>
        <v>2014</v>
      </c>
      <c r="G7" s="808">
        <f>'DCF - Assumptions'!G$7</f>
        <v>2015</v>
      </c>
      <c r="H7" s="808">
        <f>'DCF - Assumptions'!H$7</f>
        <v>2016</v>
      </c>
      <c r="I7" s="808">
        <f>'DCF - Assumptions'!I$7</f>
        <v>2017</v>
      </c>
      <c r="J7" s="808">
        <f>'DCF - Assumptions'!J$7</f>
        <v>2018</v>
      </c>
      <c r="K7" s="810">
        <f>'DCF - Assumptions'!K$7</f>
        <v>2019</v>
      </c>
      <c r="L7" s="810">
        <f>'DCF - Assumptions'!L$7</f>
        <v>2020</v>
      </c>
      <c r="M7" s="810">
        <f>'DCF - Assumptions'!M$7</f>
        <v>2021</v>
      </c>
      <c r="N7" s="810">
        <f>'DCF - Assumptions'!N$7</f>
        <v>2022</v>
      </c>
      <c r="O7" s="810">
        <f>'DCF - Assumptions'!O$7</f>
        <v>2023</v>
      </c>
      <c r="P7" s="811">
        <f>'DCF - Assumptions'!P$7</f>
        <v>2024</v>
      </c>
      <c r="Q7" s="810">
        <f>'DCF - Assumptions'!Q$7</f>
        <v>2025</v>
      </c>
      <c r="R7" s="812">
        <f>'DCF - Assumptions'!R$7</f>
        <v>2026</v>
      </c>
      <c r="S7" s="1"/>
      <c r="T7" s="6">
        <f t="shared" ref="T7:T59" si="0">IF(NOT(ISBLANK(B7)), 1, 0)</f>
        <v>1</v>
      </c>
      <c r="U7" s="35">
        <v>1</v>
      </c>
      <c r="V7" s="1"/>
    </row>
    <row r="8" spans="1:98">
      <c r="B8" s="803" t="str">
        <f>'DCF - Financials'!B9</f>
        <v>Coach revenues</v>
      </c>
      <c r="C8" s="804"/>
      <c r="D8" s="804"/>
      <c r="E8" s="804"/>
      <c r="F8" s="879">
        <f>'DCF - Financials'!F9</f>
        <v>4806.2259999999997</v>
      </c>
      <c r="G8" s="879">
        <f>'DCF - Financials'!G9</f>
        <v>4191.6000000000004</v>
      </c>
      <c r="H8" s="879">
        <f>'DCF - Financials'!H9</f>
        <v>4147.1000000000004</v>
      </c>
      <c r="I8" s="879">
        <f>'DCF - Financials'!I9</f>
        <v>4114.7</v>
      </c>
      <c r="J8" s="879">
        <f>'DCF - Financials'!J9</f>
        <v>4221.5</v>
      </c>
      <c r="K8" s="879">
        <f>'DCF - Financials'!K9</f>
        <v>0</v>
      </c>
      <c r="L8" s="879">
        <f>'DCF - Financials'!L9</f>
        <v>0</v>
      </c>
      <c r="M8" s="879">
        <f>'DCF - Financials'!M9</f>
        <v>0</v>
      </c>
      <c r="N8" s="879">
        <f>'DCF - Financials'!N9</f>
        <v>0</v>
      </c>
      <c r="O8" s="879">
        <f>'DCF - Financials'!O9</f>
        <v>0</v>
      </c>
      <c r="P8" s="879">
        <f>'DCF - Financials'!P9</f>
        <v>0</v>
      </c>
      <c r="Q8" s="879">
        <f>'DCF - Financials'!Q9</f>
        <v>0</v>
      </c>
      <c r="R8" s="882">
        <f>'DCF - Financials'!R9</f>
        <v>0</v>
      </c>
      <c r="S8" s="1"/>
      <c r="T8" s="6">
        <f t="shared" si="0"/>
        <v>1</v>
      </c>
      <c r="U8" s="35">
        <v>1</v>
      </c>
      <c r="V8" s="1"/>
    </row>
    <row r="9" spans="1:98">
      <c r="B9" s="803" t="str">
        <f>'DCF - Financials'!B10</f>
        <v>Kate Spade revenues</v>
      </c>
      <c r="C9" s="804"/>
      <c r="D9" s="804"/>
      <c r="E9" s="804"/>
      <c r="F9" s="879">
        <f>'DCF - Financials'!F10</f>
        <v>0</v>
      </c>
      <c r="G9" s="879">
        <f>'DCF - Financials'!G10</f>
        <v>0</v>
      </c>
      <c r="H9" s="879">
        <f>'DCF - Financials'!H10</f>
        <v>0</v>
      </c>
      <c r="I9" s="879">
        <f>'DCF - Financials'!I10</f>
        <v>0</v>
      </c>
      <c r="J9" s="879">
        <f>'DCF - Financials'!J10</f>
        <v>1284.7</v>
      </c>
      <c r="K9" s="879">
        <f>'DCF - Financials'!K10</f>
        <v>0</v>
      </c>
      <c r="L9" s="879">
        <f>'DCF - Financials'!L10</f>
        <v>0</v>
      </c>
      <c r="M9" s="879">
        <f>'DCF - Financials'!M10</f>
        <v>0</v>
      </c>
      <c r="N9" s="879">
        <f>'DCF - Financials'!N10</f>
        <v>0</v>
      </c>
      <c r="O9" s="879">
        <f>'DCF - Financials'!O10</f>
        <v>0</v>
      </c>
      <c r="P9" s="879">
        <f>'DCF - Financials'!P10</f>
        <v>0</v>
      </c>
      <c r="Q9" s="879">
        <f>'DCF - Financials'!Q10</f>
        <v>0</v>
      </c>
      <c r="R9" s="882">
        <f>'DCF - Financials'!R10</f>
        <v>0</v>
      </c>
      <c r="S9" s="1"/>
      <c r="T9" s="6">
        <f t="shared" si="0"/>
        <v>1</v>
      </c>
      <c r="U9" s="35">
        <v>1</v>
      </c>
      <c r="V9" s="1"/>
    </row>
    <row r="10" spans="1:98">
      <c r="B10" s="803" t="str">
        <f>'DCF - Financials'!B11</f>
        <v>Stuart Weizman revenues</v>
      </c>
      <c r="C10" s="804"/>
      <c r="D10" s="804"/>
      <c r="E10" s="804"/>
      <c r="F10" s="879">
        <f>'DCF - Financials'!F11</f>
        <v>0</v>
      </c>
      <c r="G10" s="879">
        <f>'DCF - Financials'!G11</f>
        <v>0</v>
      </c>
      <c r="H10" s="879">
        <f>'DCF - Financials'!H11</f>
        <v>344.7</v>
      </c>
      <c r="I10" s="879">
        <f>'DCF - Financials'!I11</f>
        <v>373.6</v>
      </c>
      <c r="J10" s="879">
        <f>'DCF - Financials'!J11</f>
        <v>373.8</v>
      </c>
      <c r="K10" s="879">
        <f>'DCF - Financials'!K11</f>
        <v>0</v>
      </c>
      <c r="L10" s="879">
        <f>'DCF - Financials'!L11</f>
        <v>0</v>
      </c>
      <c r="M10" s="879">
        <f>'DCF - Financials'!M11</f>
        <v>0</v>
      </c>
      <c r="N10" s="879">
        <f>'DCF - Financials'!N11</f>
        <v>0</v>
      </c>
      <c r="O10" s="879">
        <f>'DCF - Financials'!O11</f>
        <v>0</v>
      </c>
      <c r="P10" s="879">
        <f>'DCF - Financials'!P11</f>
        <v>0</v>
      </c>
      <c r="Q10" s="879">
        <f>'DCF - Financials'!Q11</f>
        <v>0</v>
      </c>
      <c r="R10" s="882">
        <f>'DCF - Financials'!R11</f>
        <v>0</v>
      </c>
      <c r="S10" s="1"/>
      <c r="T10" s="6">
        <f t="shared" si="0"/>
        <v>1</v>
      </c>
      <c r="U10" s="35">
        <v>1</v>
      </c>
      <c r="V10" s="1"/>
    </row>
    <row r="11" spans="1:98">
      <c r="B11" s="881" t="s">
        <v>64</v>
      </c>
      <c r="C11" s="886"/>
      <c r="D11" s="886"/>
      <c r="E11" s="886"/>
      <c r="F11" s="816">
        <f t="shared" ref="F11:R11" si="1">SUM(F8:F10)</f>
        <v>4806.2259999999997</v>
      </c>
      <c r="G11" s="816">
        <f t="shared" si="1"/>
        <v>4191.6000000000004</v>
      </c>
      <c r="H11" s="816">
        <f t="shared" si="1"/>
        <v>4491.8</v>
      </c>
      <c r="I11" s="816">
        <f t="shared" si="1"/>
        <v>4488.3</v>
      </c>
      <c r="J11" s="816">
        <f t="shared" si="1"/>
        <v>5880</v>
      </c>
      <c r="K11" s="816">
        <f t="shared" si="1"/>
        <v>0</v>
      </c>
      <c r="L11" s="816">
        <f t="shared" si="1"/>
        <v>0</v>
      </c>
      <c r="M11" s="816">
        <f t="shared" si="1"/>
        <v>0</v>
      </c>
      <c r="N11" s="816">
        <f t="shared" si="1"/>
        <v>0</v>
      </c>
      <c r="O11" s="816">
        <f t="shared" si="1"/>
        <v>0</v>
      </c>
      <c r="P11" s="816">
        <f t="shared" si="1"/>
        <v>0</v>
      </c>
      <c r="Q11" s="816">
        <f t="shared" si="1"/>
        <v>0</v>
      </c>
      <c r="R11" s="817">
        <f t="shared" si="1"/>
        <v>0</v>
      </c>
      <c r="S11" s="1"/>
      <c r="T11" s="6">
        <f t="shared" si="0"/>
        <v>1</v>
      </c>
      <c r="U11" s="35">
        <v>1</v>
      </c>
      <c r="V11" s="1"/>
    </row>
    <row r="12" spans="1:98">
      <c r="B12" s="865" t="s">
        <v>63</v>
      </c>
      <c r="C12" s="933"/>
      <c r="D12" s="933"/>
      <c r="E12" s="933"/>
      <c r="F12" s="934"/>
      <c r="G12" s="934">
        <f t="shared" ref="G12:R12" si="2">IFERROR(G11/F11-1,0)</f>
        <v>-0.12788121074622782</v>
      </c>
      <c r="H12" s="934">
        <f t="shared" si="2"/>
        <v>7.1619429334860207E-2</v>
      </c>
      <c r="I12" s="934">
        <f t="shared" si="2"/>
        <v>-7.7919764904932354E-4</v>
      </c>
      <c r="J12" s="934">
        <f t="shared" si="2"/>
        <v>0.31007285609250723</v>
      </c>
      <c r="K12" s="934">
        <f t="shared" si="2"/>
        <v>-1</v>
      </c>
      <c r="L12" s="934">
        <f t="shared" si="2"/>
        <v>0</v>
      </c>
      <c r="M12" s="934">
        <f t="shared" si="2"/>
        <v>0</v>
      </c>
      <c r="N12" s="934">
        <f t="shared" si="2"/>
        <v>0</v>
      </c>
      <c r="O12" s="934">
        <f t="shared" si="2"/>
        <v>0</v>
      </c>
      <c r="P12" s="934">
        <f t="shared" si="2"/>
        <v>0</v>
      </c>
      <c r="Q12" s="934">
        <f t="shared" si="2"/>
        <v>0</v>
      </c>
      <c r="R12" s="935">
        <f t="shared" si="2"/>
        <v>0</v>
      </c>
      <c r="S12" s="2"/>
      <c r="T12" s="6">
        <f t="shared" si="0"/>
        <v>1</v>
      </c>
      <c r="U12" s="35">
        <v>1</v>
      </c>
      <c r="V12" s="1"/>
    </row>
    <row r="13" spans="1:98">
      <c r="B13" s="803" t="str">
        <f>'DCF - Financials'!B14</f>
        <v>Coach COGS</v>
      </c>
      <c r="C13" s="804"/>
      <c r="D13" s="804"/>
      <c r="E13" s="804"/>
      <c r="F13" s="879">
        <f>'DCF - Financials'!F14</f>
        <v>-1509.2629999999999</v>
      </c>
      <c r="G13" s="879">
        <f>'DCF - Financials'!G14</f>
        <v>-1283</v>
      </c>
      <c r="H13" s="879">
        <f>'DCF - Financials'!H14</f>
        <v>-1298.2</v>
      </c>
      <c r="I13" s="879">
        <f>'DCF - Financials'!I14</f>
        <v>-1259.7</v>
      </c>
      <c r="J13" s="879">
        <f>'DCF - Financials'!J14</f>
        <v>-1290</v>
      </c>
      <c r="K13" s="879">
        <f>'DCF - Financials'!K14</f>
        <v>0</v>
      </c>
      <c r="L13" s="879">
        <f>'DCF - Financials'!L14</f>
        <v>0</v>
      </c>
      <c r="M13" s="879">
        <f>'DCF - Financials'!M14</f>
        <v>0</v>
      </c>
      <c r="N13" s="879">
        <f>'DCF - Financials'!N14</f>
        <v>0</v>
      </c>
      <c r="O13" s="879">
        <f>'DCF - Financials'!O14</f>
        <v>0</v>
      </c>
      <c r="P13" s="879">
        <f>'DCF - Financials'!P14</f>
        <v>0</v>
      </c>
      <c r="Q13" s="879">
        <f>'DCF - Financials'!Q14</f>
        <v>0</v>
      </c>
      <c r="R13" s="882">
        <f>'DCF - Financials'!R14</f>
        <v>0</v>
      </c>
      <c r="S13" s="1"/>
      <c r="T13" s="6">
        <f t="shared" si="0"/>
        <v>1</v>
      </c>
      <c r="U13" s="35">
        <v>1</v>
      </c>
      <c r="V13" s="1"/>
    </row>
    <row r="14" spans="1:98">
      <c r="B14" s="803" t="str">
        <f>'DCF - Financials'!B15</f>
        <v>Kate Spade COGS</v>
      </c>
      <c r="C14" s="804"/>
      <c r="D14" s="804"/>
      <c r="E14" s="804"/>
      <c r="F14" s="879">
        <f>'DCF - Financials'!F15</f>
        <v>0</v>
      </c>
      <c r="G14" s="879">
        <f>'DCF - Financials'!G15</f>
        <v>0</v>
      </c>
      <c r="H14" s="879">
        <f>'DCF - Financials'!H15</f>
        <v>0</v>
      </c>
      <c r="I14" s="879">
        <f>'DCF - Financials'!I15</f>
        <v>0</v>
      </c>
      <c r="J14" s="879">
        <f>'DCF - Financials'!J15</f>
        <v>-573.6</v>
      </c>
      <c r="K14" s="879">
        <f>'DCF - Financials'!K15</f>
        <v>0</v>
      </c>
      <c r="L14" s="879">
        <f>'DCF - Financials'!L15</f>
        <v>0</v>
      </c>
      <c r="M14" s="879">
        <f>'DCF - Financials'!M15</f>
        <v>0</v>
      </c>
      <c r="N14" s="879">
        <f>'DCF - Financials'!N15</f>
        <v>0</v>
      </c>
      <c r="O14" s="879">
        <f>'DCF - Financials'!O15</f>
        <v>0</v>
      </c>
      <c r="P14" s="879">
        <f>'DCF - Financials'!P15</f>
        <v>0</v>
      </c>
      <c r="Q14" s="879">
        <f>'DCF - Financials'!Q15</f>
        <v>0</v>
      </c>
      <c r="R14" s="882">
        <f>'DCF - Financials'!R15</f>
        <v>0</v>
      </c>
      <c r="S14" s="1"/>
      <c r="T14" s="6">
        <f t="shared" si="0"/>
        <v>1</v>
      </c>
      <c r="U14" s="35">
        <v>1</v>
      </c>
      <c r="V14" s="1"/>
    </row>
    <row r="15" spans="1:98">
      <c r="B15" s="803" t="str">
        <f>'DCF - Financials'!B16</f>
        <v>Stuart Weizman COGS</v>
      </c>
      <c r="C15" s="804"/>
      <c r="D15" s="804"/>
      <c r="E15" s="804"/>
      <c r="F15" s="879">
        <f>'DCF - Financials'!F16</f>
        <v>0</v>
      </c>
      <c r="G15" s="879">
        <f>'DCF - Financials'!G16</f>
        <v>0</v>
      </c>
      <c r="H15" s="879">
        <f>'DCF - Financials'!H16</f>
        <v>-142.30000000000001</v>
      </c>
      <c r="I15" s="879">
        <f>'DCF - Financials'!I16</f>
        <v>-147.5</v>
      </c>
      <c r="J15" s="879">
        <f>'DCF - Financials'!J16</f>
        <v>-162.5</v>
      </c>
      <c r="K15" s="879">
        <f>'DCF - Financials'!K16</f>
        <v>0</v>
      </c>
      <c r="L15" s="879">
        <f>'DCF - Financials'!L16</f>
        <v>0</v>
      </c>
      <c r="M15" s="879">
        <f>'DCF - Financials'!M16</f>
        <v>0</v>
      </c>
      <c r="N15" s="879">
        <f>'DCF - Financials'!N16</f>
        <v>0</v>
      </c>
      <c r="O15" s="879">
        <f>'DCF - Financials'!O16</f>
        <v>0</v>
      </c>
      <c r="P15" s="879">
        <f>'DCF - Financials'!P16</f>
        <v>0</v>
      </c>
      <c r="Q15" s="879">
        <f>'DCF - Financials'!Q16</f>
        <v>0</v>
      </c>
      <c r="R15" s="882">
        <f>'DCF - Financials'!R16</f>
        <v>0</v>
      </c>
      <c r="S15" s="1"/>
      <c r="T15" s="6">
        <f t="shared" si="0"/>
        <v>1</v>
      </c>
      <c r="U15" s="35">
        <v>1</v>
      </c>
      <c r="V15" s="1"/>
    </row>
    <row r="16" spans="1:98">
      <c r="B16" s="881" t="s">
        <v>120</v>
      </c>
      <c r="C16" s="886"/>
      <c r="D16" s="886"/>
      <c r="E16" s="886"/>
      <c r="F16" s="816">
        <f t="shared" ref="F16:R16" si="3">SUM(F13:F15)</f>
        <v>-1509.2629999999999</v>
      </c>
      <c r="G16" s="816">
        <f t="shared" si="3"/>
        <v>-1283</v>
      </c>
      <c r="H16" s="816">
        <f t="shared" si="3"/>
        <v>-1440.5</v>
      </c>
      <c r="I16" s="816">
        <f t="shared" si="3"/>
        <v>-1407.2</v>
      </c>
      <c r="J16" s="816">
        <f t="shared" si="3"/>
        <v>-2026.1</v>
      </c>
      <c r="K16" s="816">
        <f t="shared" si="3"/>
        <v>0</v>
      </c>
      <c r="L16" s="816">
        <f t="shared" si="3"/>
        <v>0</v>
      </c>
      <c r="M16" s="816">
        <f t="shared" si="3"/>
        <v>0</v>
      </c>
      <c r="N16" s="816">
        <f t="shared" si="3"/>
        <v>0</v>
      </c>
      <c r="O16" s="816">
        <f t="shared" si="3"/>
        <v>0</v>
      </c>
      <c r="P16" s="816">
        <f t="shared" si="3"/>
        <v>0</v>
      </c>
      <c r="Q16" s="816">
        <f t="shared" si="3"/>
        <v>0</v>
      </c>
      <c r="R16" s="817">
        <f t="shared" si="3"/>
        <v>0</v>
      </c>
      <c r="T16" s="6">
        <f t="shared" si="0"/>
        <v>1</v>
      </c>
      <c r="U16" s="35">
        <v>1</v>
      </c>
      <c r="V16" s="1"/>
    </row>
    <row r="17" spans="2:22">
      <c r="B17" s="803" t="str">
        <f>'DCF - Financials'!B19</f>
        <v>Coach SG&amp;A</v>
      </c>
      <c r="C17" s="804"/>
      <c r="D17" s="804"/>
      <c r="E17" s="804"/>
      <c r="F17" s="879">
        <f>'DCF - Financials'!F19</f>
        <v>-1865.3082766705745</v>
      </c>
      <c r="G17" s="879">
        <f>'DCF - Financials'!G19</f>
        <v>-1962.7436853884685</v>
      </c>
      <c r="H17" s="879">
        <f>'DCF - Financials'!H19</f>
        <v>-1824.5</v>
      </c>
      <c r="I17" s="879">
        <f>'DCF - Financials'!I19</f>
        <v>-1815</v>
      </c>
      <c r="J17" s="879">
        <f>'DCF - Financials'!J19</f>
        <v>-1847.3</v>
      </c>
      <c r="K17" s="879">
        <f>'DCF - Financials'!K19</f>
        <v>0</v>
      </c>
      <c r="L17" s="879">
        <f>'DCF - Financials'!L19</f>
        <v>0</v>
      </c>
      <c r="M17" s="879">
        <f>'DCF - Financials'!M19</f>
        <v>0</v>
      </c>
      <c r="N17" s="879">
        <f>'DCF - Financials'!N19</f>
        <v>0</v>
      </c>
      <c r="O17" s="879">
        <f>'DCF - Financials'!O19</f>
        <v>0</v>
      </c>
      <c r="P17" s="879">
        <f>'DCF - Financials'!P19</f>
        <v>0</v>
      </c>
      <c r="Q17" s="879">
        <f>'DCF - Financials'!Q19</f>
        <v>0</v>
      </c>
      <c r="R17" s="882">
        <f>'DCF - Financials'!R19</f>
        <v>0</v>
      </c>
      <c r="T17" s="6">
        <f t="shared" si="0"/>
        <v>1</v>
      </c>
      <c r="U17" s="35">
        <v>1</v>
      </c>
      <c r="V17" s="1"/>
    </row>
    <row r="18" spans="2:22">
      <c r="B18" s="803" t="str">
        <f>'DCF - Financials'!B20</f>
        <v>Kate Spade SG&amp;A</v>
      </c>
      <c r="C18" s="804"/>
      <c r="D18" s="804"/>
      <c r="E18" s="804"/>
      <c r="F18" s="879">
        <f>'DCF - Financials'!F20</f>
        <v>0</v>
      </c>
      <c r="G18" s="879">
        <f>'DCF - Financials'!G20</f>
        <v>0</v>
      </c>
      <c r="H18" s="879">
        <f>'DCF - Financials'!H20</f>
        <v>0</v>
      </c>
      <c r="I18" s="879">
        <f>'DCF - Financials'!I20</f>
        <v>0</v>
      </c>
      <c r="J18" s="879">
        <f>'DCF - Financials'!J20</f>
        <v>-773</v>
      </c>
      <c r="K18" s="879">
        <f>'DCF - Financials'!K20</f>
        <v>0</v>
      </c>
      <c r="L18" s="879">
        <f>'DCF - Financials'!L20</f>
        <v>0</v>
      </c>
      <c r="M18" s="879">
        <f>'DCF - Financials'!M20</f>
        <v>0</v>
      </c>
      <c r="N18" s="879">
        <f>'DCF - Financials'!N20</f>
        <v>0</v>
      </c>
      <c r="O18" s="879">
        <f>'DCF - Financials'!O20</f>
        <v>0</v>
      </c>
      <c r="P18" s="879">
        <f>'DCF - Financials'!P20</f>
        <v>0</v>
      </c>
      <c r="Q18" s="879">
        <f>'DCF - Financials'!Q20</f>
        <v>0</v>
      </c>
      <c r="R18" s="882">
        <f>'DCF - Financials'!R20</f>
        <v>0</v>
      </c>
      <c r="T18" s="6">
        <f t="shared" si="0"/>
        <v>1</v>
      </c>
      <c r="U18" s="35">
        <v>1</v>
      </c>
      <c r="V18" s="1"/>
    </row>
    <row r="19" spans="2:22">
      <c r="B19" s="803" t="str">
        <f>'DCF - Financials'!B21</f>
        <v>Stuart Weizman SG&amp;A</v>
      </c>
      <c r="C19" s="804"/>
      <c r="D19" s="804"/>
      <c r="E19" s="804"/>
      <c r="F19" s="879">
        <f>'DCF - Financials'!F21</f>
        <v>0</v>
      </c>
      <c r="G19" s="879">
        <f>'DCF - Financials'!G21</f>
        <v>0</v>
      </c>
      <c r="H19" s="879">
        <f>'DCF - Financials'!H21</f>
        <v>-169.9</v>
      </c>
      <c r="I19" s="879">
        <f>'DCF - Financials'!I21</f>
        <v>-210.6</v>
      </c>
      <c r="J19" s="879">
        <f>'DCF - Financials'!J21</f>
        <v>-213.9</v>
      </c>
      <c r="K19" s="879">
        <f>'DCF - Financials'!K21</f>
        <v>0</v>
      </c>
      <c r="L19" s="879">
        <f>'DCF - Financials'!L21</f>
        <v>0</v>
      </c>
      <c r="M19" s="879">
        <f>'DCF - Financials'!M21</f>
        <v>0</v>
      </c>
      <c r="N19" s="879">
        <f>'DCF - Financials'!N21</f>
        <v>0</v>
      </c>
      <c r="O19" s="879">
        <f>'DCF - Financials'!O21</f>
        <v>0</v>
      </c>
      <c r="P19" s="879">
        <f>'DCF - Financials'!P21</f>
        <v>0</v>
      </c>
      <c r="Q19" s="879">
        <f>'DCF - Financials'!Q21</f>
        <v>0</v>
      </c>
      <c r="R19" s="882">
        <f>'DCF - Financials'!R21</f>
        <v>0</v>
      </c>
      <c r="T19" s="6">
        <f t="shared" si="0"/>
        <v>1</v>
      </c>
      <c r="U19" s="35">
        <v>1</v>
      </c>
      <c r="V19" s="1"/>
    </row>
    <row r="20" spans="2:22">
      <c r="B20" s="803" t="str">
        <f>'DCF - Financials'!B22</f>
        <v>Corporate SG&amp;A</v>
      </c>
      <c r="C20" s="804"/>
      <c r="D20" s="804"/>
      <c r="E20" s="804"/>
      <c r="F20" s="879">
        <f>'DCF - Financials'!F22</f>
        <v>-311.58072332942561</v>
      </c>
      <c r="G20" s="879">
        <f>'DCF - Financials'!G22</f>
        <v>-327.85631461153139</v>
      </c>
      <c r="H20" s="879">
        <f>'DCF - Financials'!H22</f>
        <v>-403.4</v>
      </c>
      <c r="I20" s="879">
        <f>'DCF - Financials'!I22</f>
        <v>-268.10000000000002</v>
      </c>
      <c r="J20" s="879">
        <f>'DCF - Financials'!J22</f>
        <v>-348.9</v>
      </c>
      <c r="K20" s="879">
        <f>'DCF - Financials'!K22</f>
        <v>0</v>
      </c>
      <c r="L20" s="879">
        <f>'DCF - Financials'!L22</f>
        <v>0</v>
      </c>
      <c r="M20" s="879">
        <f>'DCF - Financials'!M22</f>
        <v>0</v>
      </c>
      <c r="N20" s="879">
        <f>'DCF - Financials'!N22</f>
        <v>0</v>
      </c>
      <c r="O20" s="879">
        <f>'DCF - Financials'!O22</f>
        <v>0</v>
      </c>
      <c r="P20" s="879">
        <f>'DCF - Financials'!P22</f>
        <v>0</v>
      </c>
      <c r="Q20" s="879">
        <f>'DCF - Financials'!Q22</f>
        <v>0</v>
      </c>
      <c r="R20" s="882">
        <f>'DCF - Financials'!R22</f>
        <v>0</v>
      </c>
      <c r="T20" s="6">
        <f t="shared" si="0"/>
        <v>1</v>
      </c>
      <c r="U20" s="35">
        <v>1</v>
      </c>
      <c r="V20" s="1"/>
    </row>
    <row r="21" spans="2:22">
      <c r="B21" s="881" t="s">
        <v>331</v>
      </c>
      <c r="C21" s="886"/>
      <c r="D21" s="886"/>
      <c r="E21" s="886"/>
      <c r="F21" s="816">
        <f t="shared" ref="F21:R21" si="4">SUM(F17:F20)</f>
        <v>-2176.8890000000001</v>
      </c>
      <c r="G21" s="816">
        <f t="shared" si="4"/>
        <v>-2290.6</v>
      </c>
      <c r="H21" s="816">
        <f t="shared" si="4"/>
        <v>-2397.8000000000002</v>
      </c>
      <c r="I21" s="816">
        <f t="shared" si="4"/>
        <v>-2293.6999999999998</v>
      </c>
      <c r="J21" s="816">
        <f t="shared" si="4"/>
        <v>-3183.1000000000004</v>
      </c>
      <c r="K21" s="816">
        <f t="shared" si="4"/>
        <v>0</v>
      </c>
      <c r="L21" s="816">
        <f t="shared" si="4"/>
        <v>0</v>
      </c>
      <c r="M21" s="816">
        <f t="shared" si="4"/>
        <v>0</v>
      </c>
      <c r="N21" s="816">
        <f t="shared" si="4"/>
        <v>0</v>
      </c>
      <c r="O21" s="816">
        <f t="shared" si="4"/>
        <v>0</v>
      </c>
      <c r="P21" s="816">
        <f t="shared" si="4"/>
        <v>0</v>
      </c>
      <c r="Q21" s="816">
        <f t="shared" si="4"/>
        <v>0</v>
      </c>
      <c r="R21" s="817">
        <f t="shared" si="4"/>
        <v>0</v>
      </c>
      <c r="T21" s="6">
        <f t="shared" si="0"/>
        <v>1</v>
      </c>
      <c r="U21" s="35">
        <v>1</v>
      </c>
      <c r="V21" s="1"/>
    </row>
    <row r="22" spans="2:22">
      <c r="B22" s="803" t="str">
        <f>'DCF - Financials'!B25</f>
        <v>Coach EBIT</v>
      </c>
      <c r="C22" s="804"/>
      <c r="D22" s="804"/>
      <c r="E22" s="804"/>
      <c r="F22" s="879">
        <f>'DCF - Financials'!F25</f>
        <v>1431.6547233294252</v>
      </c>
      <c r="G22" s="879">
        <f>'DCF - Financials'!G25</f>
        <v>945.85631461153184</v>
      </c>
      <c r="H22" s="879">
        <f>'DCF - Financials'!H25</f>
        <v>1024.4000000000005</v>
      </c>
      <c r="I22" s="879">
        <f>'DCF - Financials'!I25</f>
        <v>1040</v>
      </c>
      <c r="J22" s="879">
        <f>'DCF - Financials'!J25</f>
        <v>1084.2</v>
      </c>
      <c r="K22" s="879">
        <f>'DCF - Financials'!K25</f>
        <v>0</v>
      </c>
      <c r="L22" s="879">
        <f>'DCF - Financials'!L25</f>
        <v>0</v>
      </c>
      <c r="M22" s="879">
        <f>'DCF - Financials'!M25</f>
        <v>0</v>
      </c>
      <c r="N22" s="879">
        <f>'DCF - Financials'!N25</f>
        <v>0</v>
      </c>
      <c r="O22" s="879">
        <f>'DCF - Financials'!O25</f>
        <v>0</v>
      </c>
      <c r="P22" s="879">
        <f>'DCF - Financials'!P25</f>
        <v>0</v>
      </c>
      <c r="Q22" s="879">
        <f>'DCF - Financials'!Q25</f>
        <v>0</v>
      </c>
      <c r="R22" s="882">
        <f>'DCF - Financials'!R25</f>
        <v>0</v>
      </c>
      <c r="T22" s="6">
        <f t="shared" si="0"/>
        <v>1</v>
      </c>
      <c r="U22" s="35">
        <v>1</v>
      </c>
      <c r="V22" s="1"/>
    </row>
    <row r="23" spans="2:22">
      <c r="B23" s="803" t="str">
        <f>'DCF - Financials'!B26</f>
        <v>Kate Spade EBIT</v>
      </c>
      <c r="C23" s="804"/>
      <c r="D23" s="804"/>
      <c r="E23" s="804"/>
      <c r="F23" s="879">
        <f>'DCF - Financials'!F26</f>
        <v>0</v>
      </c>
      <c r="G23" s="879">
        <f>'DCF - Financials'!G26</f>
        <v>0</v>
      </c>
      <c r="H23" s="879">
        <f>'DCF - Financials'!H26</f>
        <v>0</v>
      </c>
      <c r="I23" s="879">
        <f>'DCF - Financials'!I26</f>
        <v>0</v>
      </c>
      <c r="J23" s="879">
        <f>'DCF - Financials'!J26</f>
        <v>-61.899999999999977</v>
      </c>
      <c r="K23" s="879">
        <f>'DCF - Financials'!K26</f>
        <v>0</v>
      </c>
      <c r="L23" s="879">
        <f>'DCF - Financials'!L26</f>
        <v>0</v>
      </c>
      <c r="M23" s="879">
        <f>'DCF - Financials'!M26</f>
        <v>0</v>
      </c>
      <c r="N23" s="879">
        <f>'DCF - Financials'!N26</f>
        <v>0</v>
      </c>
      <c r="O23" s="879">
        <f>'DCF - Financials'!O26</f>
        <v>0</v>
      </c>
      <c r="P23" s="879">
        <f>'DCF - Financials'!P26</f>
        <v>0</v>
      </c>
      <c r="Q23" s="879">
        <f>'DCF - Financials'!Q26</f>
        <v>0</v>
      </c>
      <c r="R23" s="882">
        <f>'DCF - Financials'!R26</f>
        <v>0</v>
      </c>
      <c r="T23" s="6">
        <f t="shared" si="0"/>
        <v>1</v>
      </c>
      <c r="U23" s="35">
        <v>1</v>
      </c>
      <c r="V23" s="1"/>
    </row>
    <row r="24" spans="2:22">
      <c r="B24" s="803" t="str">
        <f>'DCF - Financials'!B27</f>
        <v>Stuart Weizman EBIT</v>
      </c>
      <c r="C24" s="804"/>
      <c r="D24" s="804"/>
      <c r="E24" s="804"/>
      <c r="F24" s="879">
        <f>'DCF - Financials'!F27</f>
        <v>0</v>
      </c>
      <c r="G24" s="879">
        <f>'DCF - Financials'!G27</f>
        <v>0</v>
      </c>
      <c r="H24" s="879">
        <f>'DCF - Financials'!H27</f>
        <v>32.499999999999972</v>
      </c>
      <c r="I24" s="879">
        <f>'DCF - Financials'!I27</f>
        <v>15.500000000000028</v>
      </c>
      <c r="J24" s="879">
        <f>'DCF - Financials'!J27</f>
        <v>-2.5999999999999943</v>
      </c>
      <c r="K24" s="879">
        <f>'DCF - Financials'!K27</f>
        <v>0</v>
      </c>
      <c r="L24" s="879">
        <f>'DCF - Financials'!L27</f>
        <v>0</v>
      </c>
      <c r="M24" s="879">
        <f>'DCF - Financials'!M27</f>
        <v>0</v>
      </c>
      <c r="N24" s="879">
        <f>'DCF - Financials'!N27</f>
        <v>0</v>
      </c>
      <c r="O24" s="879">
        <f>'DCF - Financials'!O27</f>
        <v>0</v>
      </c>
      <c r="P24" s="879">
        <f>'DCF - Financials'!P27</f>
        <v>0</v>
      </c>
      <c r="Q24" s="879">
        <f>'DCF - Financials'!Q27</f>
        <v>0</v>
      </c>
      <c r="R24" s="882">
        <f>'DCF - Financials'!R27</f>
        <v>0</v>
      </c>
      <c r="T24" s="6">
        <f t="shared" si="0"/>
        <v>1</v>
      </c>
      <c r="U24" s="35">
        <v>1</v>
      </c>
      <c r="V24" s="1"/>
    </row>
    <row r="25" spans="2:22">
      <c r="B25" s="803" t="str">
        <f>'DCF - Financials'!B28</f>
        <v>Corporate SG&amp;A</v>
      </c>
      <c r="C25" s="804"/>
      <c r="D25" s="804"/>
      <c r="E25" s="804"/>
      <c r="F25" s="879">
        <f>'DCF - Financials'!F28</f>
        <v>-311.58072332942561</v>
      </c>
      <c r="G25" s="879">
        <f>'DCF - Financials'!G28</f>
        <v>-327.85631461153139</v>
      </c>
      <c r="H25" s="879">
        <f>'DCF - Financials'!H28</f>
        <v>-403.4</v>
      </c>
      <c r="I25" s="879">
        <f>'DCF - Financials'!I28</f>
        <v>-268.10000000000002</v>
      </c>
      <c r="J25" s="879">
        <f>'DCF - Financials'!J28</f>
        <v>-348.9</v>
      </c>
      <c r="K25" s="879">
        <f>'DCF - Financials'!K28</f>
        <v>0</v>
      </c>
      <c r="L25" s="879">
        <f>'DCF - Financials'!L28</f>
        <v>0</v>
      </c>
      <c r="M25" s="879">
        <f>'DCF - Financials'!M28</f>
        <v>0</v>
      </c>
      <c r="N25" s="879">
        <f>'DCF - Financials'!N28</f>
        <v>0</v>
      </c>
      <c r="O25" s="879">
        <f>'DCF - Financials'!O28</f>
        <v>0</v>
      </c>
      <c r="P25" s="879">
        <f>'DCF - Financials'!P28</f>
        <v>0</v>
      </c>
      <c r="Q25" s="879">
        <f>'DCF - Financials'!Q28</f>
        <v>0</v>
      </c>
      <c r="R25" s="882">
        <f>'DCF - Financials'!R28</f>
        <v>0</v>
      </c>
      <c r="T25" s="6">
        <f t="shared" si="0"/>
        <v>1</v>
      </c>
      <c r="U25" s="35">
        <v>1</v>
      </c>
      <c r="V25" s="1"/>
    </row>
    <row r="26" spans="2:22">
      <c r="B26" s="881" t="s">
        <v>62</v>
      </c>
      <c r="C26" s="816"/>
      <c r="D26" s="816"/>
      <c r="E26" s="816"/>
      <c r="F26" s="816">
        <f t="shared" ref="F26:R26" si="5">SUM(F11,F16,F21)</f>
        <v>1120.0739999999996</v>
      </c>
      <c r="G26" s="816">
        <f t="shared" si="5"/>
        <v>618.00000000000045</v>
      </c>
      <c r="H26" s="816">
        <f t="shared" si="5"/>
        <v>653.5</v>
      </c>
      <c r="I26" s="816">
        <f t="shared" si="5"/>
        <v>787.40000000000055</v>
      </c>
      <c r="J26" s="816">
        <f t="shared" si="5"/>
        <v>670.79999999999973</v>
      </c>
      <c r="K26" s="816">
        <f t="shared" si="5"/>
        <v>0</v>
      </c>
      <c r="L26" s="816">
        <f t="shared" si="5"/>
        <v>0</v>
      </c>
      <c r="M26" s="816">
        <f t="shared" si="5"/>
        <v>0</v>
      </c>
      <c r="N26" s="816">
        <f t="shared" si="5"/>
        <v>0</v>
      </c>
      <c r="O26" s="816">
        <f t="shared" si="5"/>
        <v>0</v>
      </c>
      <c r="P26" s="816">
        <f t="shared" si="5"/>
        <v>0</v>
      </c>
      <c r="Q26" s="816">
        <f t="shared" si="5"/>
        <v>0</v>
      </c>
      <c r="R26" s="817">
        <f t="shared" si="5"/>
        <v>0</v>
      </c>
      <c r="T26" s="6">
        <f t="shared" si="0"/>
        <v>1</v>
      </c>
      <c r="U26" s="35">
        <v>1</v>
      </c>
      <c r="V26" s="7"/>
    </row>
    <row r="27" spans="2:22">
      <c r="B27" s="865" t="s">
        <v>60</v>
      </c>
      <c r="C27" s="933"/>
      <c r="D27" s="933"/>
      <c r="E27" s="933"/>
      <c r="F27" s="934"/>
      <c r="G27" s="934">
        <f t="shared" ref="G27:R27" si="6">IFERROR(IF(OR(F26&lt;0,G26&lt;0),0,G26/F26-1),0)</f>
        <v>-0.44825074057606851</v>
      </c>
      <c r="H27" s="934">
        <f t="shared" si="6"/>
        <v>5.7443365695792004E-2</v>
      </c>
      <c r="I27" s="934">
        <f t="shared" si="6"/>
        <v>0.20489671002295418</v>
      </c>
      <c r="J27" s="934">
        <f t="shared" si="6"/>
        <v>-0.14808229616459323</v>
      </c>
      <c r="K27" s="934">
        <f t="shared" si="6"/>
        <v>-1</v>
      </c>
      <c r="L27" s="934">
        <f t="shared" si="6"/>
        <v>0</v>
      </c>
      <c r="M27" s="934">
        <f t="shared" si="6"/>
        <v>0</v>
      </c>
      <c r="N27" s="934">
        <f t="shared" si="6"/>
        <v>0</v>
      </c>
      <c r="O27" s="934">
        <f t="shared" si="6"/>
        <v>0</v>
      </c>
      <c r="P27" s="934">
        <f t="shared" si="6"/>
        <v>0</v>
      </c>
      <c r="Q27" s="934">
        <f t="shared" si="6"/>
        <v>0</v>
      </c>
      <c r="R27" s="935">
        <f t="shared" si="6"/>
        <v>0</v>
      </c>
      <c r="T27" s="6">
        <f t="shared" si="0"/>
        <v>1</v>
      </c>
      <c r="U27" s="35">
        <v>1</v>
      </c>
      <c r="V27" s="1"/>
    </row>
    <row r="28" spans="2:22">
      <c r="B28" s="865" t="s">
        <v>61</v>
      </c>
      <c r="C28" s="933"/>
      <c r="D28" s="933"/>
      <c r="E28" s="933"/>
      <c r="F28" s="934">
        <f t="shared" ref="F28:R28" si="7">IFERROR(F26/F11,0)</f>
        <v>0.23304646930876735</v>
      </c>
      <c r="G28" s="934">
        <f t="shared" si="7"/>
        <v>0.14743773260807339</v>
      </c>
      <c r="H28" s="934">
        <f t="shared" si="7"/>
        <v>0.14548733247250545</v>
      </c>
      <c r="I28" s="934">
        <f t="shared" si="7"/>
        <v>0.17543390593320421</v>
      </c>
      <c r="J28" s="934">
        <f t="shared" si="7"/>
        <v>0.11408163265306118</v>
      </c>
      <c r="K28" s="934">
        <f t="shared" si="7"/>
        <v>0</v>
      </c>
      <c r="L28" s="934">
        <f t="shared" si="7"/>
        <v>0</v>
      </c>
      <c r="M28" s="934">
        <f t="shared" si="7"/>
        <v>0</v>
      </c>
      <c r="N28" s="934">
        <f t="shared" si="7"/>
        <v>0</v>
      </c>
      <c r="O28" s="934">
        <f t="shared" si="7"/>
        <v>0</v>
      </c>
      <c r="P28" s="934">
        <f t="shared" si="7"/>
        <v>0</v>
      </c>
      <c r="Q28" s="934">
        <f t="shared" si="7"/>
        <v>0</v>
      </c>
      <c r="R28" s="935">
        <f t="shared" si="7"/>
        <v>0</v>
      </c>
      <c r="T28" s="6">
        <f t="shared" si="0"/>
        <v>1</v>
      </c>
      <c r="U28" s="35">
        <v>1</v>
      </c>
      <c r="V28" s="1"/>
    </row>
    <row r="29" spans="2:22">
      <c r="B29" s="803" t="str">
        <f>'DCF - Financials'!B31</f>
        <v>Add: Total D&amp;A</v>
      </c>
      <c r="C29" s="804"/>
      <c r="D29" s="804"/>
      <c r="E29" s="804"/>
      <c r="F29" s="879">
        <f>'DCF - Financials'!F31</f>
        <v>189.4</v>
      </c>
      <c r="G29" s="879">
        <f>'DCF - Financials'!G31</f>
        <v>191.8</v>
      </c>
      <c r="H29" s="879">
        <f>'DCF - Financials'!H31</f>
        <v>210.6</v>
      </c>
      <c r="I29" s="879">
        <f>'DCF - Financials'!I31</f>
        <v>212.8</v>
      </c>
      <c r="J29" s="879">
        <f>'DCF - Financials'!J31</f>
        <v>260.3</v>
      </c>
      <c r="K29" s="879">
        <f>'DCF - Financials'!K31</f>
        <v>0</v>
      </c>
      <c r="L29" s="879">
        <f>'DCF - Financials'!L31</f>
        <v>0</v>
      </c>
      <c r="M29" s="879">
        <f>'DCF - Financials'!M31</f>
        <v>0</v>
      </c>
      <c r="N29" s="879">
        <f>'DCF - Financials'!N31</f>
        <v>0</v>
      </c>
      <c r="O29" s="879">
        <f>'DCF - Financials'!O31</f>
        <v>0</v>
      </c>
      <c r="P29" s="879">
        <f>'DCF - Financials'!P31</f>
        <v>0</v>
      </c>
      <c r="Q29" s="879">
        <f>'DCF - Financials'!Q31</f>
        <v>0</v>
      </c>
      <c r="R29" s="882">
        <f>'DCF - Financials'!R31</f>
        <v>0</v>
      </c>
      <c r="T29" s="6">
        <f t="shared" si="0"/>
        <v>1</v>
      </c>
      <c r="U29" s="35">
        <v>1</v>
      </c>
      <c r="V29" s="1"/>
    </row>
    <row r="30" spans="2:22">
      <c r="B30" s="803" t="str">
        <f>'DCF - Financials'!B32</f>
        <v>Add: Stock-based compensation</v>
      </c>
      <c r="C30" s="804"/>
      <c r="D30" s="804"/>
      <c r="E30" s="804"/>
      <c r="F30" s="879">
        <f>'DCF - Financials'!F32</f>
        <v>83.6</v>
      </c>
      <c r="G30" s="879">
        <f>'DCF - Financials'!G32</f>
        <v>94.5</v>
      </c>
      <c r="H30" s="879">
        <f>'DCF - Financials'!H32</f>
        <v>95.8</v>
      </c>
      <c r="I30" s="879">
        <f>'DCF - Financials'!I32</f>
        <v>77.399999999999991</v>
      </c>
      <c r="J30" s="879">
        <f>'DCF - Financials'!J32</f>
        <v>81.3</v>
      </c>
      <c r="K30" s="879">
        <f>'DCF - Financials'!K32</f>
        <v>0</v>
      </c>
      <c r="L30" s="879">
        <f>'DCF - Financials'!L32</f>
        <v>0</v>
      </c>
      <c r="M30" s="879">
        <f>'DCF - Financials'!M32</f>
        <v>0</v>
      </c>
      <c r="N30" s="879">
        <f>'DCF - Financials'!N32</f>
        <v>0</v>
      </c>
      <c r="O30" s="879">
        <f>'DCF - Financials'!O32</f>
        <v>0</v>
      </c>
      <c r="P30" s="879">
        <f>'DCF - Financials'!P32</f>
        <v>0</v>
      </c>
      <c r="Q30" s="879">
        <f>'DCF - Financials'!Q32</f>
        <v>0</v>
      </c>
      <c r="R30" s="882">
        <f>'DCF - Financials'!R32</f>
        <v>0</v>
      </c>
      <c r="T30" s="6">
        <f t="shared" si="0"/>
        <v>1</v>
      </c>
      <c r="U30" s="35">
        <v>1</v>
      </c>
      <c r="V30" s="1"/>
    </row>
    <row r="31" spans="2:22">
      <c r="B31" s="803" t="str">
        <f>'DCF - Financials'!B33</f>
        <v>Add: Integration and restructuring activities</v>
      </c>
      <c r="C31" s="804"/>
      <c r="D31" s="804"/>
      <c r="E31" s="804"/>
      <c r="F31" s="879">
        <f>'DCF - Financials'!F33</f>
        <v>108.2</v>
      </c>
      <c r="G31" s="879">
        <f>'DCF - Financials'!G33</f>
        <v>59.7</v>
      </c>
      <c r="H31" s="879">
        <f>'DCF - Financials'!H33</f>
        <v>17.7</v>
      </c>
      <c r="I31" s="879">
        <f>'DCF - Financials'!I33</f>
        <v>8.5</v>
      </c>
      <c r="J31" s="879">
        <f>'DCF - Financials'!J33</f>
        <v>134.9</v>
      </c>
      <c r="K31" s="879">
        <f>'DCF - Financials'!K33</f>
        <v>0</v>
      </c>
      <c r="L31" s="879">
        <f>'DCF - Financials'!L33</f>
        <v>0</v>
      </c>
      <c r="M31" s="879">
        <f>'DCF - Financials'!M33</f>
        <v>0</v>
      </c>
      <c r="N31" s="879">
        <f>'DCF - Financials'!N33</f>
        <v>0</v>
      </c>
      <c r="O31" s="879">
        <f>'DCF - Financials'!O33</f>
        <v>0</v>
      </c>
      <c r="P31" s="879">
        <f>'DCF - Financials'!P33</f>
        <v>0</v>
      </c>
      <c r="Q31" s="879">
        <f>'DCF - Financials'!Q33</f>
        <v>0</v>
      </c>
      <c r="R31" s="882">
        <f>'DCF - Financials'!R33</f>
        <v>0</v>
      </c>
      <c r="T31" s="6">
        <f t="shared" si="0"/>
        <v>1</v>
      </c>
      <c r="U31" s="35">
        <v>1</v>
      </c>
      <c r="V31" s="1"/>
    </row>
    <row r="32" spans="2:22">
      <c r="B32" s="881" t="s">
        <v>59</v>
      </c>
      <c r="C32" s="816"/>
      <c r="D32" s="816"/>
      <c r="E32" s="816"/>
      <c r="F32" s="816">
        <f t="shared" ref="F32:R32" si="8">SUM(F26,F29:F31)</f>
        <v>1501.2739999999997</v>
      </c>
      <c r="G32" s="816">
        <f t="shared" si="8"/>
        <v>964.00000000000045</v>
      </c>
      <c r="H32" s="816">
        <f t="shared" si="8"/>
        <v>977.6</v>
      </c>
      <c r="I32" s="816">
        <f t="shared" si="8"/>
        <v>1086.1000000000006</v>
      </c>
      <c r="J32" s="816">
        <f t="shared" si="8"/>
        <v>1147.2999999999997</v>
      </c>
      <c r="K32" s="816">
        <f t="shared" si="8"/>
        <v>0</v>
      </c>
      <c r="L32" s="816">
        <f t="shared" si="8"/>
        <v>0</v>
      </c>
      <c r="M32" s="816">
        <f t="shared" si="8"/>
        <v>0</v>
      </c>
      <c r="N32" s="816">
        <f t="shared" si="8"/>
        <v>0</v>
      </c>
      <c r="O32" s="816">
        <f t="shared" si="8"/>
        <v>0</v>
      </c>
      <c r="P32" s="816">
        <f t="shared" si="8"/>
        <v>0</v>
      </c>
      <c r="Q32" s="816">
        <f t="shared" si="8"/>
        <v>0</v>
      </c>
      <c r="R32" s="817">
        <f t="shared" si="8"/>
        <v>0</v>
      </c>
      <c r="T32" s="6">
        <f t="shared" si="0"/>
        <v>1</v>
      </c>
      <c r="U32" s="35">
        <v>1</v>
      </c>
      <c r="V32" s="7"/>
    </row>
    <row r="33" spans="1:22">
      <c r="B33" s="865" t="s">
        <v>57</v>
      </c>
      <c r="C33" s="933"/>
      <c r="D33" s="933"/>
      <c r="E33" s="933"/>
      <c r="F33" s="934"/>
      <c r="G33" s="934">
        <f t="shared" ref="G33:R33" si="9">IFERROR(IF(OR(F32&lt;0,G32&lt;0),0,G32/F32-1),0)</f>
        <v>-0.35787870835037394</v>
      </c>
      <c r="H33" s="934">
        <f t="shared" si="9"/>
        <v>1.4107883817426892E-2</v>
      </c>
      <c r="I33" s="934">
        <f t="shared" si="9"/>
        <v>0.11098608837970603</v>
      </c>
      <c r="J33" s="934">
        <f t="shared" si="9"/>
        <v>5.6348402541201548E-2</v>
      </c>
      <c r="K33" s="934">
        <f t="shared" si="9"/>
        <v>-1</v>
      </c>
      <c r="L33" s="934">
        <f t="shared" si="9"/>
        <v>0</v>
      </c>
      <c r="M33" s="934">
        <f t="shared" si="9"/>
        <v>0</v>
      </c>
      <c r="N33" s="934">
        <f t="shared" si="9"/>
        <v>0</v>
      </c>
      <c r="O33" s="934">
        <f t="shared" si="9"/>
        <v>0</v>
      </c>
      <c r="P33" s="934">
        <f t="shared" si="9"/>
        <v>0</v>
      </c>
      <c r="Q33" s="934">
        <f t="shared" si="9"/>
        <v>0</v>
      </c>
      <c r="R33" s="935">
        <f t="shared" si="9"/>
        <v>0</v>
      </c>
      <c r="T33" s="6">
        <f t="shared" si="0"/>
        <v>1</v>
      </c>
      <c r="U33" s="35">
        <v>1</v>
      </c>
      <c r="V33" s="1"/>
    </row>
    <row r="34" spans="1:22">
      <c r="B34" s="936" t="s">
        <v>58</v>
      </c>
      <c r="C34" s="937"/>
      <c r="D34" s="937"/>
      <c r="E34" s="937"/>
      <c r="F34" s="938">
        <f t="shared" ref="F34:R34" si="10">IFERROR(F32/F11,0)</f>
        <v>0.31236025938022882</v>
      </c>
      <c r="G34" s="938">
        <f t="shared" si="10"/>
        <v>0.22998377707796555</v>
      </c>
      <c r="H34" s="938">
        <f t="shared" si="10"/>
        <v>0.21764103477447794</v>
      </c>
      <c r="I34" s="938">
        <f t="shared" si="10"/>
        <v>0.24198471581667905</v>
      </c>
      <c r="J34" s="938">
        <f t="shared" si="10"/>
        <v>0.19511904761904758</v>
      </c>
      <c r="K34" s="938">
        <f t="shared" si="10"/>
        <v>0</v>
      </c>
      <c r="L34" s="938">
        <f t="shared" si="10"/>
        <v>0</v>
      </c>
      <c r="M34" s="938">
        <f t="shared" si="10"/>
        <v>0</v>
      </c>
      <c r="N34" s="938">
        <f t="shared" si="10"/>
        <v>0</v>
      </c>
      <c r="O34" s="938">
        <f t="shared" si="10"/>
        <v>0</v>
      </c>
      <c r="P34" s="938">
        <f t="shared" si="10"/>
        <v>0</v>
      </c>
      <c r="Q34" s="938">
        <f t="shared" si="10"/>
        <v>0</v>
      </c>
      <c r="R34" s="939">
        <f t="shared" si="10"/>
        <v>0</v>
      </c>
      <c r="T34" s="6">
        <f t="shared" si="0"/>
        <v>1</v>
      </c>
      <c r="U34" s="35">
        <v>1</v>
      </c>
      <c r="V34" s="1"/>
    </row>
    <row r="35" spans="1:22">
      <c r="B35" s="2"/>
      <c r="C35" s="2"/>
      <c r="D35" s="932"/>
      <c r="E35" s="932"/>
      <c r="F35" s="2"/>
      <c r="G35" s="2"/>
      <c r="H35" s="2"/>
      <c r="I35" s="2"/>
      <c r="J35" s="2"/>
      <c r="K35" s="2"/>
      <c r="L35" s="2"/>
      <c r="M35" s="2"/>
      <c r="N35" s="2"/>
      <c r="O35" s="2"/>
      <c r="P35" s="2"/>
      <c r="Q35" s="7"/>
      <c r="R35" s="7"/>
      <c r="S35" s="19"/>
      <c r="T35" s="6">
        <f t="shared" si="0"/>
        <v>0</v>
      </c>
      <c r="U35" s="35">
        <v>0</v>
      </c>
      <c r="V35" s="1"/>
    </row>
    <row r="36" spans="1:22">
      <c r="B36" s="727" t="s">
        <v>56</v>
      </c>
      <c r="C36" s="728"/>
      <c r="D36" s="728"/>
      <c r="E36" s="728"/>
      <c r="F36" s="728"/>
      <c r="G36" s="728"/>
      <c r="H36" s="728"/>
      <c r="I36" s="728"/>
      <c r="J36" s="728"/>
      <c r="K36" s="728"/>
      <c r="L36" s="728"/>
      <c r="M36" s="728"/>
      <c r="N36" s="728"/>
      <c r="O36" s="728"/>
      <c r="P36" s="728"/>
      <c r="Q36" s="728"/>
      <c r="R36" s="729"/>
      <c r="T36" s="6">
        <f t="shared" ref="T36:T56" si="11">IF(NOT(ISBLANK(B36)), 1, 0)</f>
        <v>1</v>
      </c>
      <c r="U36" s="35">
        <v>1</v>
      </c>
      <c r="V36" s="1"/>
    </row>
    <row r="37" spans="1:22">
      <c r="B37" s="862"/>
      <c r="C37" s="863"/>
      <c r="D37" s="863"/>
      <c r="E37" s="863"/>
      <c r="F37" s="863"/>
      <c r="G37" s="863"/>
      <c r="H37" s="863"/>
      <c r="I37" s="864" t="s">
        <v>29</v>
      </c>
      <c r="J37" s="864"/>
      <c r="K37" s="805"/>
      <c r="L37" s="805"/>
      <c r="M37" s="805"/>
      <c r="N37" s="805"/>
      <c r="O37" s="805"/>
      <c r="P37" s="805"/>
      <c r="Q37" s="805"/>
      <c r="R37" s="806"/>
      <c r="T37" s="6">
        <f t="shared" si="11"/>
        <v>0</v>
      </c>
      <c r="U37" s="35">
        <v>0</v>
      </c>
      <c r="V37" s="1"/>
    </row>
    <row r="38" spans="1:22">
      <c r="B38" s="807" t="s">
        <v>28</v>
      </c>
      <c r="C38" s="808"/>
      <c r="D38" s="808"/>
      <c r="E38" s="808"/>
      <c r="F38" s="808">
        <f>'DCF - Assumptions'!F$7</f>
        <v>2014</v>
      </c>
      <c r="G38" s="808">
        <f>'DCF - Assumptions'!G$7</f>
        <v>2015</v>
      </c>
      <c r="H38" s="808">
        <f>'DCF - Assumptions'!H$7</f>
        <v>2016</v>
      </c>
      <c r="I38" s="808">
        <f>'DCF - Assumptions'!I$7</f>
        <v>2017</v>
      </c>
      <c r="J38" s="808">
        <f>'DCF - Assumptions'!J$7</f>
        <v>2018</v>
      </c>
      <c r="K38" s="810">
        <f>'DCF - Assumptions'!K$7</f>
        <v>2019</v>
      </c>
      <c r="L38" s="810">
        <f>'DCF - Assumptions'!L$7</f>
        <v>2020</v>
      </c>
      <c r="M38" s="810">
        <f>'DCF - Assumptions'!M$7</f>
        <v>2021</v>
      </c>
      <c r="N38" s="810">
        <f>'DCF - Assumptions'!N$7</f>
        <v>2022</v>
      </c>
      <c r="O38" s="810">
        <f>'DCF - Assumptions'!O$7</f>
        <v>2023</v>
      </c>
      <c r="P38" s="811">
        <f>'DCF - Assumptions'!P$7</f>
        <v>2024</v>
      </c>
      <c r="Q38" s="810">
        <f>'DCF - Assumptions'!Q$7</f>
        <v>2025</v>
      </c>
      <c r="R38" s="812">
        <f>'DCF - Assumptions'!R$7</f>
        <v>2026</v>
      </c>
      <c r="T38" s="6">
        <f t="shared" si="11"/>
        <v>1</v>
      </c>
      <c r="U38" s="35">
        <v>1</v>
      </c>
      <c r="V38" s="1"/>
    </row>
    <row r="39" spans="1:22">
      <c r="B39" s="865" t="s">
        <v>55</v>
      </c>
      <c r="C39" s="866"/>
      <c r="D39" s="866"/>
      <c r="E39" s="866"/>
      <c r="F39" s="867"/>
      <c r="G39" s="867">
        <f t="shared" ref="G39:R39" si="12">IFERROR(G11/F11-1,0)</f>
        <v>-0.12788121074622782</v>
      </c>
      <c r="H39" s="867">
        <f t="shared" si="12"/>
        <v>7.1619429334860207E-2</v>
      </c>
      <c r="I39" s="867">
        <f t="shared" si="12"/>
        <v>-7.7919764904932354E-4</v>
      </c>
      <c r="J39" s="867">
        <f t="shared" si="12"/>
        <v>0.31007285609250723</v>
      </c>
      <c r="K39" s="867">
        <f t="shared" si="12"/>
        <v>-1</v>
      </c>
      <c r="L39" s="867">
        <f t="shared" si="12"/>
        <v>0</v>
      </c>
      <c r="M39" s="867">
        <f t="shared" si="12"/>
        <v>0</v>
      </c>
      <c r="N39" s="867">
        <f t="shared" si="12"/>
        <v>0</v>
      </c>
      <c r="O39" s="867">
        <f t="shared" si="12"/>
        <v>0</v>
      </c>
      <c r="P39" s="867">
        <f t="shared" si="12"/>
        <v>0</v>
      </c>
      <c r="Q39" s="867">
        <f t="shared" si="12"/>
        <v>0</v>
      </c>
      <c r="R39" s="868">
        <f t="shared" si="12"/>
        <v>0</v>
      </c>
      <c r="T39" s="6">
        <f t="shared" si="11"/>
        <v>1</v>
      </c>
      <c r="U39" s="35">
        <v>1</v>
      </c>
      <c r="V39" s="2"/>
    </row>
    <row r="40" spans="1:22">
      <c r="B40" s="865" t="s">
        <v>347</v>
      </c>
      <c r="C40" s="866"/>
      <c r="D40" s="866"/>
      <c r="E40" s="866"/>
      <c r="F40" s="867"/>
      <c r="G40" s="867">
        <f t="shared" ref="G40:R40" si="13">IFERROR(G8/F8-1,0)</f>
        <v>-0.12788121074622782</v>
      </c>
      <c r="H40" s="867">
        <f t="shared" si="13"/>
        <v>-1.0616471037312669E-2</v>
      </c>
      <c r="I40" s="867">
        <f t="shared" si="13"/>
        <v>-7.8126883846544315E-3</v>
      </c>
      <c r="J40" s="867">
        <f t="shared" si="13"/>
        <v>2.5955719736554306E-2</v>
      </c>
      <c r="K40" s="867">
        <f t="shared" si="13"/>
        <v>-1</v>
      </c>
      <c r="L40" s="867">
        <f t="shared" si="13"/>
        <v>0</v>
      </c>
      <c r="M40" s="867">
        <f t="shared" si="13"/>
        <v>0</v>
      </c>
      <c r="N40" s="867">
        <f t="shared" si="13"/>
        <v>0</v>
      </c>
      <c r="O40" s="867">
        <f t="shared" si="13"/>
        <v>0</v>
      </c>
      <c r="P40" s="867">
        <f t="shared" si="13"/>
        <v>0</v>
      </c>
      <c r="Q40" s="867">
        <f t="shared" si="13"/>
        <v>0</v>
      </c>
      <c r="R40" s="868">
        <f t="shared" si="13"/>
        <v>0</v>
      </c>
      <c r="T40" s="6">
        <f t="shared" si="11"/>
        <v>1</v>
      </c>
      <c r="U40" s="35">
        <v>1</v>
      </c>
      <c r="V40" s="2"/>
    </row>
    <row r="41" spans="1:22">
      <c r="B41" s="865" t="s">
        <v>348</v>
      </c>
      <c r="C41" s="866"/>
      <c r="D41" s="866"/>
      <c r="E41" s="866"/>
      <c r="F41" s="867"/>
      <c r="G41" s="867">
        <f t="shared" ref="G41:R41" si="14">IFERROR(G9/F9-1,0)</f>
        <v>0</v>
      </c>
      <c r="H41" s="867">
        <f t="shared" si="14"/>
        <v>0</v>
      </c>
      <c r="I41" s="867">
        <f t="shared" si="14"/>
        <v>0</v>
      </c>
      <c r="J41" s="867">
        <f t="shared" si="14"/>
        <v>0</v>
      </c>
      <c r="K41" s="867">
        <f t="shared" si="14"/>
        <v>-1</v>
      </c>
      <c r="L41" s="867">
        <f t="shared" si="14"/>
        <v>0</v>
      </c>
      <c r="M41" s="867">
        <f t="shared" si="14"/>
        <v>0</v>
      </c>
      <c r="N41" s="867">
        <f t="shared" si="14"/>
        <v>0</v>
      </c>
      <c r="O41" s="867">
        <f t="shared" si="14"/>
        <v>0</v>
      </c>
      <c r="P41" s="867">
        <f t="shared" si="14"/>
        <v>0</v>
      </c>
      <c r="Q41" s="867">
        <f t="shared" si="14"/>
        <v>0</v>
      </c>
      <c r="R41" s="868">
        <f t="shared" si="14"/>
        <v>0</v>
      </c>
      <c r="T41" s="6">
        <f t="shared" si="11"/>
        <v>1</v>
      </c>
      <c r="U41" s="35">
        <v>1</v>
      </c>
      <c r="V41" s="2"/>
    </row>
    <row r="42" spans="1:22">
      <c r="B42" s="865" t="s">
        <v>349</v>
      </c>
      <c r="C42" s="866"/>
      <c r="D42" s="866"/>
      <c r="E42" s="866"/>
      <c r="F42" s="867"/>
      <c r="G42" s="867">
        <f t="shared" ref="G42:R42" si="15">IFERROR(G10/F10-1,0)</f>
        <v>0</v>
      </c>
      <c r="H42" s="867">
        <f t="shared" si="15"/>
        <v>0</v>
      </c>
      <c r="I42" s="867">
        <f t="shared" si="15"/>
        <v>8.3841021177835984E-2</v>
      </c>
      <c r="J42" s="867">
        <f t="shared" si="15"/>
        <v>5.353319057814776E-4</v>
      </c>
      <c r="K42" s="867">
        <f t="shared" si="15"/>
        <v>-1</v>
      </c>
      <c r="L42" s="867">
        <f t="shared" si="15"/>
        <v>0</v>
      </c>
      <c r="M42" s="867">
        <f t="shared" si="15"/>
        <v>0</v>
      </c>
      <c r="N42" s="867">
        <f t="shared" si="15"/>
        <v>0</v>
      </c>
      <c r="O42" s="867">
        <f t="shared" si="15"/>
        <v>0</v>
      </c>
      <c r="P42" s="867">
        <f t="shared" si="15"/>
        <v>0</v>
      </c>
      <c r="Q42" s="867">
        <f t="shared" si="15"/>
        <v>0</v>
      </c>
      <c r="R42" s="868">
        <f t="shared" si="15"/>
        <v>0</v>
      </c>
      <c r="T42" s="6">
        <f t="shared" si="11"/>
        <v>1</v>
      </c>
      <c r="U42" s="35">
        <v>1</v>
      </c>
      <c r="V42" s="2"/>
    </row>
    <row r="43" spans="1:22">
      <c r="A43" s="30"/>
      <c r="B43" s="869" t="s">
        <v>350</v>
      </c>
      <c r="C43" s="870"/>
      <c r="D43" s="870"/>
      <c r="E43" s="870"/>
      <c r="F43" s="871"/>
      <c r="G43" s="871">
        <f t="shared" ref="G43:R43" si="16">IFERROR(G8/G$11,0)</f>
        <v>1</v>
      </c>
      <c r="H43" s="871">
        <f t="shared" si="16"/>
        <v>0.92326016296362268</v>
      </c>
      <c r="I43" s="871">
        <f t="shared" si="16"/>
        <v>0.91676135730677533</v>
      </c>
      <c r="J43" s="871">
        <f t="shared" si="16"/>
        <v>0.71794217687074835</v>
      </c>
      <c r="K43" s="871">
        <f t="shared" si="16"/>
        <v>0</v>
      </c>
      <c r="L43" s="871">
        <f t="shared" si="16"/>
        <v>0</v>
      </c>
      <c r="M43" s="871">
        <f t="shared" si="16"/>
        <v>0</v>
      </c>
      <c r="N43" s="871">
        <f t="shared" si="16"/>
        <v>0</v>
      </c>
      <c r="O43" s="871">
        <f t="shared" si="16"/>
        <v>0</v>
      </c>
      <c r="P43" s="871">
        <f t="shared" si="16"/>
        <v>0</v>
      </c>
      <c r="Q43" s="871">
        <f t="shared" si="16"/>
        <v>0</v>
      </c>
      <c r="R43" s="872">
        <f t="shared" si="16"/>
        <v>0</v>
      </c>
      <c r="T43" s="6">
        <f t="shared" si="11"/>
        <v>1</v>
      </c>
      <c r="U43" s="35">
        <v>1</v>
      </c>
      <c r="V43" s="2"/>
    </row>
    <row r="44" spans="1:22">
      <c r="A44" s="30"/>
      <c r="B44" s="873" t="s">
        <v>351</v>
      </c>
      <c r="C44" s="866"/>
      <c r="D44" s="866"/>
      <c r="E44" s="866"/>
      <c r="F44" s="867"/>
      <c r="G44" s="867">
        <f t="shared" ref="G44:R44" si="17">IFERROR(G9/G$11,0)</f>
        <v>0</v>
      </c>
      <c r="H44" s="867">
        <f t="shared" si="17"/>
        <v>0</v>
      </c>
      <c r="I44" s="867">
        <f t="shared" si="17"/>
        <v>0</v>
      </c>
      <c r="J44" s="867">
        <f t="shared" si="17"/>
        <v>0.21848639455782315</v>
      </c>
      <c r="K44" s="867">
        <f t="shared" si="17"/>
        <v>0</v>
      </c>
      <c r="L44" s="867">
        <f t="shared" si="17"/>
        <v>0</v>
      </c>
      <c r="M44" s="867">
        <f t="shared" si="17"/>
        <v>0</v>
      </c>
      <c r="N44" s="867">
        <f t="shared" si="17"/>
        <v>0</v>
      </c>
      <c r="O44" s="867">
        <f t="shared" si="17"/>
        <v>0</v>
      </c>
      <c r="P44" s="867">
        <f t="shared" si="17"/>
        <v>0</v>
      </c>
      <c r="Q44" s="867">
        <f t="shared" si="17"/>
        <v>0</v>
      </c>
      <c r="R44" s="868">
        <f t="shared" si="17"/>
        <v>0</v>
      </c>
      <c r="T44" s="6">
        <f t="shared" si="11"/>
        <v>1</v>
      </c>
      <c r="U44" s="35">
        <v>1</v>
      </c>
      <c r="V44" s="2"/>
    </row>
    <row r="45" spans="1:22">
      <c r="A45" s="30"/>
      <c r="B45" s="873" t="s">
        <v>352</v>
      </c>
      <c r="C45" s="866"/>
      <c r="D45" s="866"/>
      <c r="E45" s="866"/>
      <c r="F45" s="867"/>
      <c r="G45" s="867">
        <f>G10/G$11</f>
        <v>0</v>
      </c>
      <c r="H45" s="867">
        <f t="shared" ref="H45:R45" si="18">IFERROR(H10/H$11,0)</f>
        <v>7.6739837036377392E-2</v>
      </c>
      <c r="I45" s="867">
        <f t="shared" si="18"/>
        <v>8.3238642693224604E-2</v>
      </c>
      <c r="J45" s="867">
        <f t="shared" si="18"/>
        <v>6.357142857142857E-2</v>
      </c>
      <c r="K45" s="867">
        <f t="shared" si="18"/>
        <v>0</v>
      </c>
      <c r="L45" s="867">
        <f t="shared" si="18"/>
        <v>0</v>
      </c>
      <c r="M45" s="867">
        <f t="shared" si="18"/>
        <v>0</v>
      </c>
      <c r="N45" s="867">
        <f t="shared" si="18"/>
        <v>0</v>
      </c>
      <c r="O45" s="867">
        <f t="shared" si="18"/>
        <v>0</v>
      </c>
      <c r="P45" s="867">
        <f t="shared" si="18"/>
        <v>0</v>
      </c>
      <c r="Q45" s="867">
        <f t="shared" si="18"/>
        <v>0</v>
      </c>
      <c r="R45" s="868">
        <f t="shared" si="18"/>
        <v>0</v>
      </c>
      <c r="T45" s="6">
        <f t="shared" si="11"/>
        <v>1</v>
      </c>
      <c r="U45" s="35">
        <v>1</v>
      </c>
      <c r="V45" s="2"/>
    </row>
    <row r="46" spans="1:22">
      <c r="A46" s="30"/>
      <c r="B46" s="869" t="s">
        <v>53</v>
      </c>
      <c r="C46" s="870"/>
      <c r="D46" s="870"/>
      <c r="E46" s="870"/>
      <c r="F46" s="871"/>
      <c r="G46" s="871">
        <f t="shared" ref="G46:R46" si="19">IF(OR(F26&lt;=0,G26&lt;=0),0,G26/F26-1)</f>
        <v>-0.44825074057606851</v>
      </c>
      <c r="H46" s="871">
        <f t="shared" si="19"/>
        <v>5.7443365695792004E-2</v>
      </c>
      <c r="I46" s="871">
        <f t="shared" si="19"/>
        <v>0.20489671002295418</v>
      </c>
      <c r="J46" s="871">
        <f t="shared" si="19"/>
        <v>-0.14808229616459323</v>
      </c>
      <c r="K46" s="871">
        <f t="shared" si="19"/>
        <v>0</v>
      </c>
      <c r="L46" s="871">
        <f t="shared" si="19"/>
        <v>0</v>
      </c>
      <c r="M46" s="871">
        <f t="shared" si="19"/>
        <v>0</v>
      </c>
      <c r="N46" s="871">
        <f t="shared" si="19"/>
        <v>0</v>
      </c>
      <c r="O46" s="871">
        <f t="shared" si="19"/>
        <v>0</v>
      </c>
      <c r="P46" s="871">
        <f t="shared" si="19"/>
        <v>0</v>
      </c>
      <c r="Q46" s="871">
        <f t="shared" si="19"/>
        <v>0</v>
      </c>
      <c r="R46" s="872">
        <f t="shared" si="19"/>
        <v>0</v>
      </c>
      <c r="T46" s="6">
        <f t="shared" si="11"/>
        <v>1</v>
      </c>
      <c r="U46" s="35">
        <v>1</v>
      </c>
      <c r="V46" s="2"/>
    </row>
    <row r="47" spans="1:22">
      <c r="A47" s="30"/>
      <c r="B47" s="873" t="s">
        <v>356</v>
      </c>
      <c r="C47" s="866"/>
      <c r="D47" s="866"/>
      <c r="E47" s="866"/>
      <c r="F47" s="867"/>
      <c r="G47" s="867">
        <f t="shared" ref="G47:R47" si="20">IFERROR(G22/F22-1,0)</f>
        <v>-0.33932651553590454</v>
      </c>
      <c r="H47" s="867">
        <f t="shared" si="20"/>
        <v>8.3039764259254412E-2</v>
      </c>
      <c r="I47" s="867">
        <f t="shared" si="20"/>
        <v>1.5228426395938577E-2</v>
      </c>
      <c r="J47" s="867">
        <f t="shared" si="20"/>
        <v>4.2499999999999982E-2</v>
      </c>
      <c r="K47" s="867">
        <f t="shared" si="20"/>
        <v>-1</v>
      </c>
      <c r="L47" s="867">
        <f t="shared" si="20"/>
        <v>0</v>
      </c>
      <c r="M47" s="867">
        <f t="shared" si="20"/>
        <v>0</v>
      </c>
      <c r="N47" s="867">
        <f t="shared" si="20"/>
        <v>0</v>
      </c>
      <c r="O47" s="867">
        <f t="shared" si="20"/>
        <v>0</v>
      </c>
      <c r="P47" s="867">
        <f t="shared" si="20"/>
        <v>0</v>
      </c>
      <c r="Q47" s="867">
        <f t="shared" si="20"/>
        <v>0</v>
      </c>
      <c r="R47" s="868">
        <f t="shared" si="20"/>
        <v>0</v>
      </c>
      <c r="T47" s="6">
        <f t="shared" si="11"/>
        <v>1</v>
      </c>
      <c r="U47" s="35">
        <v>1</v>
      </c>
      <c r="V47" s="2"/>
    </row>
    <row r="48" spans="1:22">
      <c r="A48" s="30"/>
      <c r="B48" s="873" t="s">
        <v>357</v>
      </c>
      <c r="C48" s="866"/>
      <c r="D48" s="866"/>
      <c r="E48" s="866"/>
      <c r="F48" s="874"/>
      <c r="G48" s="867">
        <f t="shared" ref="G48:R48" si="21">IF(OR(G23&lt;=0,F23&lt;=0),0,G23/F23-1)</f>
        <v>0</v>
      </c>
      <c r="H48" s="867">
        <f t="shared" si="21"/>
        <v>0</v>
      </c>
      <c r="I48" s="867">
        <f t="shared" si="21"/>
        <v>0</v>
      </c>
      <c r="J48" s="867">
        <f t="shared" si="21"/>
        <v>0</v>
      </c>
      <c r="K48" s="867">
        <f t="shared" si="21"/>
        <v>0</v>
      </c>
      <c r="L48" s="867">
        <f t="shared" si="21"/>
        <v>0</v>
      </c>
      <c r="M48" s="867">
        <f t="shared" si="21"/>
        <v>0</v>
      </c>
      <c r="N48" s="867">
        <f t="shared" si="21"/>
        <v>0</v>
      </c>
      <c r="O48" s="867">
        <f t="shared" si="21"/>
        <v>0</v>
      </c>
      <c r="P48" s="867">
        <f t="shared" si="21"/>
        <v>0</v>
      </c>
      <c r="Q48" s="867">
        <f t="shared" si="21"/>
        <v>0</v>
      </c>
      <c r="R48" s="868">
        <f t="shared" si="21"/>
        <v>0</v>
      </c>
      <c r="T48" s="6">
        <f t="shared" si="11"/>
        <v>1</v>
      </c>
      <c r="U48" s="35">
        <v>1</v>
      </c>
      <c r="V48" s="2"/>
    </row>
    <row r="49" spans="1:22">
      <c r="A49" s="30"/>
      <c r="B49" s="873" t="s">
        <v>358</v>
      </c>
      <c r="C49" s="866"/>
      <c r="D49" s="866"/>
      <c r="E49" s="866"/>
      <c r="F49" s="867"/>
      <c r="G49" s="867">
        <f t="shared" ref="G49:R49" si="22">IF(OR(G24&lt;=0,F24&lt;=0),0,G24/F24-1)</f>
        <v>0</v>
      </c>
      <c r="H49" s="867">
        <f t="shared" si="22"/>
        <v>0</v>
      </c>
      <c r="I49" s="867">
        <f t="shared" si="22"/>
        <v>-0.52307692307692177</v>
      </c>
      <c r="J49" s="867">
        <f t="shared" si="22"/>
        <v>0</v>
      </c>
      <c r="K49" s="867">
        <f t="shared" si="22"/>
        <v>0</v>
      </c>
      <c r="L49" s="867">
        <f t="shared" si="22"/>
        <v>0</v>
      </c>
      <c r="M49" s="867">
        <f t="shared" si="22"/>
        <v>0</v>
      </c>
      <c r="N49" s="867">
        <f t="shared" si="22"/>
        <v>0</v>
      </c>
      <c r="O49" s="867">
        <f t="shared" si="22"/>
        <v>0</v>
      </c>
      <c r="P49" s="867">
        <f t="shared" si="22"/>
        <v>0</v>
      </c>
      <c r="Q49" s="867">
        <f t="shared" si="22"/>
        <v>0</v>
      </c>
      <c r="R49" s="867">
        <f t="shared" si="22"/>
        <v>0</v>
      </c>
      <c r="T49" s="6">
        <f t="shared" si="11"/>
        <v>1</v>
      </c>
      <c r="U49" s="35">
        <v>1</v>
      </c>
      <c r="V49" s="2"/>
    </row>
    <row r="50" spans="1:22">
      <c r="A50" s="30"/>
      <c r="B50" s="869" t="s">
        <v>54</v>
      </c>
      <c r="C50" s="870"/>
      <c r="D50" s="870"/>
      <c r="E50" s="870"/>
      <c r="F50" s="871"/>
      <c r="G50" s="871">
        <f t="shared" ref="G50:R50" si="23">G28</f>
        <v>0.14743773260807339</v>
      </c>
      <c r="H50" s="871">
        <f t="shared" si="23"/>
        <v>0.14548733247250545</v>
      </c>
      <c r="I50" s="871">
        <f t="shared" si="23"/>
        <v>0.17543390593320421</v>
      </c>
      <c r="J50" s="871">
        <f t="shared" si="23"/>
        <v>0.11408163265306118</v>
      </c>
      <c r="K50" s="871">
        <f t="shared" si="23"/>
        <v>0</v>
      </c>
      <c r="L50" s="871">
        <f t="shared" si="23"/>
        <v>0</v>
      </c>
      <c r="M50" s="871">
        <f t="shared" si="23"/>
        <v>0</v>
      </c>
      <c r="N50" s="871">
        <f t="shared" si="23"/>
        <v>0</v>
      </c>
      <c r="O50" s="871">
        <f t="shared" si="23"/>
        <v>0</v>
      </c>
      <c r="P50" s="871">
        <f t="shared" si="23"/>
        <v>0</v>
      </c>
      <c r="Q50" s="871">
        <f t="shared" si="23"/>
        <v>0</v>
      </c>
      <c r="R50" s="872">
        <f t="shared" si="23"/>
        <v>0</v>
      </c>
      <c r="T50" s="6">
        <f t="shared" si="11"/>
        <v>1</v>
      </c>
      <c r="U50" s="35">
        <v>1</v>
      </c>
      <c r="V50" s="2"/>
    </row>
    <row r="51" spans="1:22">
      <c r="A51" s="30"/>
      <c r="B51" s="873" t="s">
        <v>353</v>
      </c>
      <c r="C51" s="866"/>
      <c r="D51" s="866"/>
      <c r="E51" s="866"/>
      <c r="F51" s="874"/>
      <c r="G51" s="867">
        <f t="shared" ref="G51:R51" si="24">IFERROR(G22/G8,0)</f>
        <v>0.225655194820959</v>
      </c>
      <c r="H51" s="867">
        <f t="shared" si="24"/>
        <v>0.24701598707530575</v>
      </c>
      <c r="I51" s="867">
        <f t="shared" si="24"/>
        <v>0.25275232702262618</v>
      </c>
      <c r="J51" s="867">
        <f t="shared" si="24"/>
        <v>0.25682814165580958</v>
      </c>
      <c r="K51" s="867">
        <f t="shared" si="24"/>
        <v>0</v>
      </c>
      <c r="L51" s="867">
        <f t="shared" si="24"/>
        <v>0</v>
      </c>
      <c r="M51" s="867">
        <f t="shared" si="24"/>
        <v>0</v>
      </c>
      <c r="N51" s="867">
        <f t="shared" si="24"/>
        <v>0</v>
      </c>
      <c r="O51" s="867">
        <f t="shared" si="24"/>
        <v>0</v>
      </c>
      <c r="P51" s="867">
        <f t="shared" si="24"/>
        <v>0</v>
      </c>
      <c r="Q51" s="867">
        <f t="shared" si="24"/>
        <v>0</v>
      </c>
      <c r="R51" s="867">
        <f t="shared" si="24"/>
        <v>0</v>
      </c>
      <c r="T51" s="6">
        <f t="shared" si="11"/>
        <v>1</v>
      </c>
      <c r="U51" s="35">
        <v>1</v>
      </c>
      <c r="V51" s="2"/>
    </row>
    <row r="52" spans="1:22">
      <c r="A52" s="30"/>
      <c r="B52" s="873" t="s">
        <v>354</v>
      </c>
      <c r="C52" s="866"/>
      <c r="D52" s="866"/>
      <c r="E52" s="866"/>
      <c r="F52" s="874"/>
      <c r="G52" s="867">
        <f t="shared" ref="G52:R52" si="25">IFERROR(G23/G9,0)</f>
        <v>0</v>
      </c>
      <c r="H52" s="867">
        <f t="shared" si="25"/>
        <v>0</v>
      </c>
      <c r="I52" s="867">
        <f t="shared" si="25"/>
        <v>0</v>
      </c>
      <c r="J52" s="867">
        <f t="shared" si="25"/>
        <v>-4.8182455047871081E-2</v>
      </c>
      <c r="K52" s="867">
        <f t="shared" si="25"/>
        <v>0</v>
      </c>
      <c r="L52" s="867">
        <f t="shared" si="25"/>
        <v>0</v>
      </c>
      <c r="M52" s="867">
        <f t="shared" si="25"/>
        <v>0</v>
      </c>
      <c r="N52" s="867">
        <f t="shared" si="25"/>
        <v>0</v>
      </c>
      <c r="O52" s="867">
        <f t="shared" si="25"/>
        <v>0</v>
      </c>
      <c r="P52" s="867">
        <f t="shared" si="25"/>
        <v>0</v>
      </c>
      <c r="Q52" s="867">
        <f t="shared" si="25"/>
        <v>0</v>
      </c>
      <c r="R52" s="868">
        <f t="shared" si="25"/>
        <v>0</v>
      </c>
      <c r="T52" s="6">
        <f t="shared" si="11"/>
        <v>1</v>
      </c>
      <c r="U52" s="35">
        <v>1</v>
      </c>
      <c r="V52" s="2"/>
    </row>
    <row r="53" spans="1:22">
      <c r="A53" s="30"/>
      <c r="B53" s="873" t="s">
        <v>355</v>
      </c>
      <c r="C53" s="866"/>
      <c r="D53" s="866"/>
      <c r="E53" s="866"/>
      <c r="F53" s="867"/>
      <c r="G53" s="867">
        <f t="shared" ref="G53:R53" si="26">IFERROR(G24/G10,0)</f>
        <v>0</v>
      </c>
      <c r="H53" s="867">
        <f t="shared" si="26"/>
        <v>9.428488540760073E-2</v>
      </c>
      <c r="I53" s="867">
        <f t="shared" si="26"/>
        <v>4.1488222698072875E-2</v>
      </c>
      <c r="J53" s="867">
        <f t="shared" si="26"/>
        <v>-6.955591225254131E-3</v>
      </c>
      <c r="K53" s="867">
        <f t="shared" si="26"/>
        <v>0</v>
      </c>
      <c r="L53" s="867">
        <f t="shared" si="26"/>
        <v>0</v>
      </c>
      <c r="M53" s="867">
        <f t="shared" si="26"/>
        <v>0</v>
      </c>
      <c r="N53" s="867">
        <f t="shared" si="26"/>
        <v>0</v>
      </c>
      <c r="O53" s="867">
        <f t="shared" si="26"/>
        <v>0</v>
      </c>
      <c r="P53" s="867">
        <f t="shared" si="26"/>
        <v>0</v>
      </c>
      <c r="Q53" s="867">
        <f t="shared" si="26"/>
        <v>0</v>
      </c>
      <c r="R53" s="868">
        <f t="shared" si="26"/>
        <v>0</v>
      </c>
      <c r="T53" s="6">
        <f t="shared" si="11"/>
        <v>1</v>
      </c>
      <c r="U53" s="35">
        <v>1</v>
      </c>
      <c r="V53" s="2"/>
    </row>
    <row r="54" spans="1:22">
      <c r="A54" s="30"/>
      <c r="B54" s="869" t="s">
        <v>51</v>
      </c>
      <c r="C54" s="870"/>
      <c r="D54" s="870"/>
      <c r="E54" s="870"/>
      <c r="F54" s="875"/>
      <c r="G54" s="871">
        <f t="shared" ref="G54:R54" si="27">IFERROR(IF(OR(F32&lt;0,G32&lt;0),0,G32/F32-1),0)</f>
        <v>-0.35787870835037394</v>
      </c>
      <c r="H54" s="871">
        <f t="shared" si="27"/>
        <v>1.4107883817426892E-2</v>
      </c>
      <c r="I54" s="871">
        <f t="shared" si="27"/>
        <v>0.11098608837970603</v>
      </c>
      <c r="J54" s="871">
        <f t="shared" si="27"/>
        <v>5.6348402541201548E-2</v>
      </c>
      <c r="K54" s="871">
        <f t="shared" si="27"/>
        <v>-1</v>
      </c>
      <c r="L54" s="871">
        <f t="shared" si="27"/>
        <v>0</v>
      </c>
      <c r="M54" s="871">
        <f t="shared" si="27"/>
        <v>0</v>
      </c>
      <c r="N54" s="871">
        <f t="shared" si="27"/>
        <v>0</v>
      </c>
      <c r="O54" s="871">
        <f t="shared" si="27"/>
        <v>0</v>
      </c>
      <c r="P54" s="871">
        <f t="shared" si="27"/>
        <v>0</v>
      </c>
      <c r="Q54" s="871">
        <f t="shared" si="27"/>
        <v>0</v>
      </c>
      <c r="R54" s="871">
        <f t="shared" si="27"/>
        <v>0</v>
      </c>
      <c r="T54" s="6">
        <f t="shared" si="11"/>
        <v>1</v>
      </c>
      <c r="U54" s="35">
        <v>1</v>
      </c>
      <c r="V54" s="2"/>
    </row>
    <row r="55" spans="1:22">
      <c r="A55" s="30"/>
      <c r="B55" s="876" t="s">
        <v>52</v>
      </c>
      <c r="C55" s="877"/>
      <c r="D55" s="877"/>
      <c r="E55" s="877"/>
      <c r="F55" s="878"/>
      <c r="G55" s="878">
        <f t="shared" ref="G55:R55" si="28">IFERROR(G32/G11,0)</f>
        <v>0.22998377707796555</v>
      </c>
      <c r="H55" s="878">
        <f t="shared" si="28"/>
        <v>0.21764103477447794</v>
      </c>
      <c r="I55" s="878">
        <f t="shared" si="28"/>
        <v>0.24198471581667905</v>
      </c>
      <c r="J55" s="878">
        <f t="shared" si="28"/>
        <v>0.19511904761904758</v>
      </c>
      <c r="K55" s="878">
        <f t="shared" si="28"/>
        <v>0</v>
      </c>
      <c r="L55" s="878">
        <f t="shared" si="28"/>
        <v>0</v>
      </c>
      <c r="M55" s="878">
        <f t="shared" si="28"/>
        <v>0</v>
      </c>
      <c r="N55" s="878">
        <f t="shared" si="28"/>
        <v>0</v>
      </c>
      <c r="O55" s="878">
        <f t="shared" si="28"/>
        <v>0</v>
      </c>
      <c r="P55" s="878">
        <f t="shared" si="28"/>
        <v>0</v>
      </c>
      <c r="Q55" s="878">
        <f t="shared" si="28"/>
        <v>0</v>
      </c>
      <c r="R55" s="878">
        <f t="shared" si="28"/>
        <v>0</v>
      </c>
      <c r="T55" s="6">
        <f t="shared" si="11"/>
        <v>1</v>
      </c>
      <c r="U55" s="35">
        <v>1</v>
      </c>
      <c r="V55" s="2"/>
    </row>
    <row r="56" spans="1:22">
      <c r="B56" s="804"/>
      <c r="C56" s="804"/>
      <c r="D56" s="804"/>
      <c r="E56" s="804"/>
      <c r="F56" s="879"/>
      <c r="G56" s="879"/>
      <c r="H56" s="879"/>
      <c r="I56" s="879"/>
      <c r="J56" s="879"/>
      <c r="K56" s="879"/>
      <c r="L56" s="879"/>
      <c r="M56" s="879"/>
      <c r="N56" s="879"/>
      <c r="O56" s="879"/>
      <c r="P56" s="879"/>
      <c r="Q56" s="879"/>
      <c r="R56" s="880"/>
      <c r="S56" s="19"/>
      <c r="T56" s="6">
        <f t="shared" si="11"/>
        <v>0</v>
      </c>
      <c r="U56" s="35">
        <v>0</v>
      </c>
      <c r="V56" s="1"/>
    </row>
    <row r="57" spans="1:22">
      <c r="B57" s="727" t="s">
        <v>50</v>
      </c>
      <c r="C57" s="728"/>
      <c r="D57" s="728"/>
      <c r="E57" s="728"/>
      <c r="F57" s="728"/>
      <c r="G57" s="728"/>
      <c r="H57" s="728"/>
      <c r="I57" s="728"/>
      <c r="J57" s="728"/>
      <c r="K57" s="728"/>
      <c r="L57" s="728"/>
      <c r="M57" s="728"/>
      <c r="N57" s="728"/>
      <c r="O57" s="728"/>
      <c r="P57" s="728"/>
      <c r="Q57" s="728"/>
      <c r="R57" s="729"/>
      <c r="T57" s="6">
        <f t="shared" si="0"/>
        <v>1</v>
      </c>
      <c r="U57" s="35">
        <v>1</v>
      </c>
      <c r="V57" s="1"/>
    </row>
    <row r="58" spans="1:22">
      <c r="B58" s="862"/>
      <c r="C58" s="863"/>
      <c r="D58" s="863"/>
      <c r="E58" s="863"/>
      <c r="F58" s="863"/>
      <c r="G58" s="863"/>
      <c r="H58" s="863"/>
      <c r="I58" s="863"/>
      <c r="J58" s="863"/>
      <c r="K58" s="805" t="s">
        <v>29</v>
      </c>
      <c r="L58" s="805"/>
      <c r="M58" s="805"/>
      <c r="N58" s="805"/>
      <c r="O58" s="805"/>
      <c r="P58" s="805"/>
      <c r="Q58" s="805"/>
      <c r="R58" s="806"/>
      <c r="T58" s="6">
        <f t="shared" si="0"/>
        <v>0</v>
      </c>
      <c r="U58" s="35">
        <v>0</v>
      </c>
      <c r="V58" s="1"/>
    </row>
    <row r="59" spans="1:22">
      <c r="B59" s="807" t="s">
        <v>28</v>
      </c>
      <c r="C59" s="808"/>
      <c r="D59" s="808"/>
      <c r="E59" s="808"/>
      <c r="F59" s="808">
        <f>'DCF - Assumptions'!F$7</f>
        <v>2014</v>
      </c>
      <c r="G59" s="808">
        <f>'DCF - Assumptions'!G$7</f>
        <v>2015</v>
      </c>
      <c r="H59" s="808">
        <f>'DCF - Assumptions'!H$7</f>
        <v>2016</v>
      </c>
      <c r="I59" s="808">
        <f>'DCF - Assumptions'!I$7</f>
        <v>2017</v>
      </c>
      <c r="J59" s="808">
        <f>'DCF - Assumptions'!J$7</f>
        <v>2018</v>
      </c>
      <c r="K59" s="810">
        <f>'DCF - Assumptions'!K$7</f>
        <v>2019</v>
      </c>
      <c r="L59" s="810">
        <f>'DCF - Assumptions'!L$7</f>
        <v>2020</v>
      </c>
      <c r="M59" s="810">
        <f>'DCF - Assumptions'!M$7</f>
        <v>2021</v>
      </c>
      <c r="N59" s="810">
        <f>'DCF - Assumptions'!N$7</f>
        <v>2022</v>
      </c>
      <c r="O59" s="810">
        <f>'DCF - Assumptions'!O$7</f>
        <v>2023</v>
      </c>
      <c r="P59" s="811">
        <f>'DCF - Assumptions'!P$7</f>
        <v>2024</v>
      </c>
      <c r="Q59" s="810">
        <f>'DCF - Assumptions'!Q$7</f>
        <v>2025</v>
      </c>
      <c r="R59" s="812">
        <f>'DCF - Assumptions'!R$7</f>
        <v>2026</v>
      </c>
      <c r="T59" s="6">
        <f t="shared" si="0"/>
        <v>1</v>
      </c>
      <c r="U59" s="35">
        <v>1</v>
      </c>
      <c r="V59" s="1"/>
    </row>
    <row r="60" spans="1:22">
      <c r="B60" s="881" t="str">
        <f>B32</f>
        <v>EBITDA</v>
      </c>
      <c r="C60" s="816"/>
      <c r="D60" s="816"/>
      <c r="E60" s="816"/>
      <c r="F60" s="816">
        <f t="shared" ref="F60:R60" si="29">F32</f>
        <v>1501.2739999999997</v>
      </c>
      <c r="G60" s="816">
        <f t="shared" si="29"/>
        <v>964.00000000000045</v>
      </c>
      <c r="H60" s="816">
        <f t="shared" si="29"/>
        <v>977.6</v>
      </c>
      <c r="I60" s="816">
        <f t="shared" si="29"/>
        <v>1086.1000000000006</v>
      </c>
      <c r="J60" s="816">
        <f t="shared" si="29"/>
        <v>1147.2999999999997</v>
      </c>
      <c r="K60" s="816">
        <f t="shared" si="29"/>
        <v>0</v>
      </c>
      <c r="L60" s="816">
        <f t="shared" si="29"/>
        <v>0</v>
      </c>
      <c r="M60" s="816">
        <f t="shared" si="29"/>
        <v>0</v>
      </c>
      <c r="N60" s="816">
        <f t="shared" si="29"/>
        <v>0</v>
      </c>
      <c r="O60" s="816">
        <f t="shared" si="29"/>
        <v>0</v>
      </c>
      <c r="P60" s="816">
        <f t="shared" si="29"/>
        <v>0</v>
      </c>
      <c r="Q60" s="816">
        <f t="shared" si="29"/>
        <v>0</v>
      </c>
      <c r="R60" s="817">
        <f t="shared" si="29"/>
        <v>0</v>
      </c>
      <c r="T60" s="6">
        <f t="shared" ref="T60:T89" si="30">IF(NOT(ISBLANK(B60)), 1, 0)</f>
        <v>1</v>
      </c>
      <c r="U60" s="35">
        <v>1</v>
      </c>
      <c r="V60" s="2"/>
    </row>
    <row r="61" spans="1:22">
      <c r="B61" s="803" t="str">
        <f>'DCF - Financials'!B76</f>
        <v>Purchases of PPE</v>
      </c>
      <c r="C61" s="804"/>
      <c r="D61" s="804"/>
      <c r="E61" s="804"/>
      <c r="F61" s="838">
        <f>'DCF - Financials'!F76</f>
        <v>-219.6</v>
      </c>
      <c r="G61" s="879">
        <f>'DCF - Financials'!G76</f>
        <v>-199.3</v>
      </c>
      <c r="H61" s="879">
        <f>'DCF - Financials'!H76</f>
        <v>-396.4</v>
      </c>
      <c r="I61" s="879">
        <f>'DCF - Financials'!I76</f>
        <v>-283.10000000000002</v>
      </c>
      <c r="J61" s="879">
        <f>'DCF - Financials'!J76</f>
        <v>-267.39999999999998</v>
      </c>
      <c r="K61" s="879">
        <f>'DCF - Financials'!K76</f>
        <v>0</v>
      </c>
      <c r="L61" s="879">
        <f>'DCF - Financials'!L76</f>
        <v>0</v>
      </c>
      <c r="M61" s="879">
        <f>'DCF - Financials'!M76</f>
        <v>0</v>
      </c>
      <c r="N61" s="879">
        <f>'DCF - Financials'!N76</f>
        <v>0</v>
      </c>
      <c r="O61" s="879">
        <f>'DCF - Financials'!O76</f>
        <v>0</v>
      </c>
      <c r="P61" s="879">
        <f>'DCF - Financials'!P76</f>
        <v>0</v>
      </c>
      <c r="Q61" s="879">
        <f>'DCF - Financials'!Q76</f>
        <v>0</v>
      </c>
      <c r="R61" s="882">
        <f>'DCF - Financials'!R76</f>
        <v>0</v>
      </c>
      <c r="T61" s="6">
        <f t="shared" si="30"/>
        <v>1</v>
      </c>
      <c r="U61" s="35">
        <v>1</v>
      </c>
      <c r="V61" s="2"/>
    </row>
    <row r="62" spans="1:22">
      <c r="B62" s="803" t="str">
        <f>'DCF - Financials'!B41</f>
        <v>Provision for income taxes</v>
      </c>
      <c r="C62" s="804"/>
      <c r="D62" s="804"/>
      <c r="E62" s="804"/>
      <c r="F62" s="879">
        <f>'DCF - Financials'!F41</f>
        <v>-340.91899999999998</v>
      </c>
      <c r="G62" s="879">
        <f>'DCF - Financials'!G41</f>
        <v>-209.2</v>
      </c>
      <c r="H62" s="879">
        <f>'DCF - Financials'!H41</f>
        <v>-166.1</v>
      </c>
      <c r="I62" s="879">
        <f>'DCF - Financials'!I41</f>
        <v>-168</v>
      </c>
      <c r="J62" s="879">
        <f>'DCF - Financials'!J41</f>
        <v>-199.3</v>
      </c>
      <c r="K62" s="879">
        <f>'DCF - Financials'!K41</f>
        <v>0</v>
      </c>
      <c r="L62" s="879">
        <f>'DCF - Financials'!L41</f>
        <v>0</v>
      </c>
      <c r="M62" s="879">
        <f>'DCF - Financials'!M41</f>
        <v>0</v>
      </c>
      <c r="N62" s="879">
        <f>'DCF - Financials'!N41</f>
        <v>0</v>
      </c>
      <c r="O62" s="879">
        <f>'DCF - Financials'!O41</f>
        <v>0</v>
      </c>
      <c r="P62" s="879">
        <f>'DCF - Financials'!P41</f>
        <v>0</v>
      </c>
      <c r="Q62" s="879">
        <f>'DCF - Financials'!Q41</f>
        <v>0</v>
      </c>
      <c r="R62" s="882">
        <f>'DCF - Financials'!R41</f>
        <v>0</v>
      </c>
      <c r="T62" s="6">
        <f t="shared" si="30"/>
        <v>1</v>
      </c>
      <c r="U62" s="35">
        <v>1</v>
      </c>
      <c r="V62" s="2"/>
    </row>
    <row r="63" spans="1:22">
      <c r="B63" s="803" t="s">
        <v>49</v>
      </c>
      <c r="C63" s="804"/>
      <c r="D63" s="804"/>
      <c r="E63" s="804"/>
      <c r="F63" s="879">
        <f>'DCF - Financials'!F106+'DCF - Financials'!F108</f>
        <v>-177.6</v>
      </c>
      <c r="G63" s="879">
        <f>'DCF - Financials'!G106+'DCF - Financials'!G108</f>
        <v>175.10000000000002</v>
      </c>
      <c r="H63" s="879">
        <f>'DCF - Financials'!H106+'DCF - Financials'!H108</f>
        <v>-22.499999999999986</v>
      </c>
      <c r="I63" s="879">
        <f>'DCF - Financials'!I106+'DCF - Financials'!I108</f>
        <v>-38.299999999999997</v>
      </c>
      <c r="J63" s="879">
        <f>'DCF - Financials'!J106+'DCF - Financials'!J108</f>
        <v>111.19999999999999</v>
      </c>
      <c r="K63" s="879">
        <f>'DCF - Financials'!K106+'DCF - Financials'!K108</f>
        <v>0</v>
      </c>
      <c r="L63" s="879">
        <f>'DCF - Financials'!L106+'DCF - Financials'!L108</f>
        <v>0</v>
      </c>
      <c r="M63" s="879">
        <f>'DCF - Financials'!M106+'DCF - Financials'!M108</f>
        <v>0</v>
      </c>
      <c r="N63" s="879">
        <f>'DCF - Financials'!N106+'DCF - Financials'!N108</f>
        <v>0</v>
      </c>
      <c r="O63" s="879">
        <f>'DCF - Financials'!O106+'DCF - Financials'!O108</f>
        <v>0</v>
      </c>
      <c r="P63" s="879">
        <f>'DCF - Financials'!P106+'DCF - Financials'!P108</f>
        <v>0</v>
      </c>
      <c r="Q63" s="879">
        <f>'DCF - Financials'!Q106+'DCF - Financials'!Q108</f>
        <v>0</v>
      </c>
      <c r="R63" s="882">
        <f>'DCF - Financials'!R106+'DCF - Financials'!R108</f>
        <v>0</v>
      </c>
      <c r="T63" s="6">
        <f t="shared" si="30"/>
        <v>1</v>
      </c>
      <c r="U63" s="35">
        <v>1</v>
      </c>
      <c r="V63" s="2"/>
    </row>
    <row r="64" spans="1:22">
      <c r="A64" s="19"/>
      <c r="B64" s="883" t="s">
        <v>48</v>
      </c>
      <c r="C64" s="816"/>
      <c r="D64" s="816"/>
      <c r="E64" s="816"/>
      <c r="F64" s="816">
        <f t="shared" ref="F64:R64" si="31">SUM(F60:F63)</f>
        <v>763.15499999999975</v>
      </c>
      <c r="G64" s="816">
        <f t="shared" si="31"/>
        <v>730.60000000000048</v>
      </c>
      <c r="H64" s="816">
        <f t="shared" si="31"/>
        <v>392.6</v>
      </c>
      <c r="I64" s="816">
        <f t="shared" si="31"/>
        <v>596.70000000000061</v>
      </c>
      <c r="J64" s="816">
        <f t="shared" si="31"/>
        <v>791.79999999999973</v>
      </c>
      <c r="K64" s="816">
        <f t="shared" si="31"/>
        <v>0</v>
      </c>
      <c r="L64" s="816">
        <f t="shared" si="31"/>
        <v>0</v>
      </c>
      <c r="M64" s="816">
        <f t="shared" si="31"/>
        <v>0</v>
      </c>
      <c r="N64" s="816">
        <f t="shared" si="31"/>
        <v>0</v>
      </c>
      <c r="O64" s="816">
        <f t="shared" si="31"/>
        <v>0</v>
      </c>
      <c r="P64" s="816">
        <f t="shared" si="31"/>
        <v>0</v>
      </c>
      <c r="Q64" s="816">
        <f t="shared" si="31"/>
        <v>0</v>
      </c>
      <c r="R64" s="817">
        <f t="shared" si="31"/>
        <v>0</v>
      </c>
      <c r="T64" s="6">
        <f t="shared" si="30"/>
        <v>1</v>
      </c>
      <c r="U64" s="35">
        <v>1</v>
      </c>
      <c r="V64" s="7"/>
    </row>
    <row r="65" spans="1:22">
      <c r="B65" s="803" t="s">
        <v>47</v>
      </c>
      <c r="C65" s="804"/>
      <c r="D65" s="804"/>
      <c r="E65" s="804"/>
      <c r="F65" s="879">
        <f>'DCF - Financials'!F37</f>
        <v>2.181</v>
      </c>
      <c r="G65" s="879">
        <f>'DCF - Financials'!G37</f>
        <v>-6.4</v>
      </c>
      <c r="H65" s="879">
        <f>'DCF - Financials'!H37</f>
        <v>-26.9</v>
      </c>
      <c r="I65" s="879">
        <f>'DCF - Financials'!I37</f>
        <v>-28.4</v>
      </c>
      <c r="J65" s="879">
        <f>'DCF - Financials'!J37</f>
        <v>-74</v>
      </c>
      <c r="K65" s="884">
        <f>'DCF - Financials'!K37</f>
        <v>0</v>
      </c>
      <c r="L65" s="884">
        <f>'DCF - Financials'!L37</f>
        <v>0</v>
      </c>
      <c r="M65" s="884">
        <f>'DCF - Financials'!M37</f>
        <v>0</v>
      </c>
      <c r="N65" s="884">
        <f>'DCF - Financials'!N37</f>
        <v>0</v>
      </c>
      <c r="O65" s="884">
        <f>'DCF - Financials'!O37</f>
        <v>0</v>
      </c>
      <c r="P65" s="884">
        <f>'DCF - Financials'!P37</f>
        <v>0</v>
      </c>
      <c r="Q65" s="884">
        <f>'DCF - Financials'!Q37</f>
        <v>0</v>
      </c>
      <c r="R65" s="885">
        <f>'DCF - Financials'!R37</f>
        <v>0</v>
      </c>
      <c r="T65" s="6">
        <f t="shared" si="30"/>
        <v>1</v>
      </c>
      <c r="U65" s="35">
        <v>1</v>
      </c>
      <c r="V65" s="2"/>
    </row>
    <row r="66" spans="1:22">
      <c r="B66" s="803" t="s">
        <v>46</v>
      </c>
      <c r="C66" s="804"/>
      <c r="D66" s="804"/>
      <c r="E66" s="804"/>
      <c r="F66" s="879">
        <f>SUM('DCF - Financials'!F87:F91)</f>
        <v>139.5</v>
      </c>
      <c r="G66" s="879">
        <f>SUM('DCF - Financials'!G87:G91)</f>
        <v>756.2</v>
      </c>
      <c r="H66" s="879">
        <f>SUM('DCF - Financials'!H87:H91)</f>
        <v>-15</v>
      </c>
      <c r="I66" s="879">
        <f>SUM('DCF - Financials'!I87:I91)</f>
        <v>712.2</v>
      </c>
      <c r="J66" s="879">
        <f>SUM('DCF - Financials'!J87:J91)</f>
        <v>0</v>
      </c>
      <c r="K66" s="879">
        <f>SUM('DCF - Financials'!K87:K91)</f>
        <v>0</v>
      </c>
      <c r="L66" s="879">
        <f>SUM('DCF - Financials'!L87:L91)</f>
        <v>0</v>
      </c>
      <c r="M66" s="879">
        <f>SUM('DCF - Financials'!M87:M91)</f>
        <v>0</v>
      </c>
      <c r="N66" s="879">
        <f>SUM('DCF - Financials'!N87:N91)</f>
        <v>0</v>
      </c>
      <c r="O66" s="879">
        <f>SUM('DCF - Financials'!O87:O91)</f>
        <v>0</v>
      </c>
      <c r="P66" s="884">
        <f>SUM('DCF - Financials'!P87:P91)</f>
        <v>0</v>
      </c>
      <c r="Q66" s="879">
        <f>SUM('DCF - Financials'!Q87:Q91)</f>
        <v>0</v>
      </c>
      <c r="R66" s="885">
        <f>SUM('DCF - Financials'!R87:R91)</f>
        <v>0</v>
      </c>
      <c r="T66" s="6">
        <f t="shared" si="30"/>
        <v>1</v>
      </c>
      <c r="U66" s="35">
        <v>1</v>
      </c>
      <c r="V66" s="2"/>
    </row>
    <row r="67" spans="1:22">
      <c r="B67" s="803" t="str">
        <f>'DCF - Financials'!B78</f>
        <v>Sale (purchase) of investments</v>
      </c>
      <c r="C67" s="804"/>
      <c r="D67" s="804"/>
      <c r="E67" s="804"/>
      <c r="F67" s="838">
        <f>'DCF - Financials'!F78</f>
        <v>-484.3</v>
      </c>
      <c r="G67" s="879">
        <f>'DCF - Financials'!G78</f>
        <v>106</v>
      </c>
      <c r="H67" s="879">
        <f>'DCF - Financials'!H78</f>
        <v>-388</v>
      </c>
      <c r="I67" s="879">
        <f>'DCF - Financials'!I78</f>
        <v>876.1</v>
      </c>
      <c r="J67" s="879">
        <f>'DCF - Financials'!J78</f>
        <v>478.4</v>
      </c>
      <c r="K67" s="879">
        <f>'DCF - Financials'!K78</f>
        <v>0</v>
      </c>
      <c r="L67" s="879">
        <f>'DCF - Financials'!L78</f>
        <v>0</v>
      </c>
      <c r="M67" s="879">
        <f>'DCF - Financials'!M78</f>
        <v>0</v>
      </c>
      <c r="N67" s="879">
        <f>'DCF - Financials'!N78</f>
        <v>0</v>
      </c>
      <c r="O67" s="879">
        <f>'DCF - Financials'!O78</f>
        <v>0</v>
      </c>
      <c r="P67" s="879">
        <f>'DCF - Financials'!P78</f>
        <v>0</v>
      </c>
      <c r="Q67" s="879">
        <f>'DCF - Financials'!Q78</f>
        <v>0</v>
      </c>
      <c r="R67" s="882">
        <f>'DCF - Financials'!R78</f>
        <v>0</v>
      </c>
      <c r="T67" s="6">
        <f t="shared" si="30"/>
        <v>1</v>
      </c>
      <c r="U67" s="35">
        <v>1</v>
      </c>
      <c r="V67" s="2"/>
    </row>
    <row r="68" spans="1:22">
      <c r="B68" s="803" t="s">
        <v>363</v>
      </c>
      <c r="C68" s="804"/>
      <c r="D68" s="804"/>
      <c r="E68" s="804"/>
      <c r="F68" s="879">
        <f>'DCF - Financials'!F77+'DCF - Financials'!F107</f>
        <v>10.000000000000004</v>
      </c>
      <c r="G68" s="879">
        <f>'DCF - Financials'!G77+'DCF - Financials'!G107</f>
        <v>-514.70000000000005</v>
      </c>
      <c r="H68" s="879">
        <f>'DCF - Financials'!H77+'DCF - Financials'!H107</f>
        <v>-21</v>
      </c>
      <c r="I68" s="879">
        <f>'DCF - Financials'!I77+'DCF - Financials'!I107</f>
        <v>35.300000000000004</v>
      </c>
      <c r="J68" s="879">
        <f>'DCF - Financials'!J77+'DCF - Financials'!J107</f>
        <v>-2241.6000000000004</v>
      </c>
      <c r="K68" s="884">
        <f>'DCF - Financials'!K77+'DCF - Financials'!K107</f>
        <v>0</v>
      </c>
      <c r="L68" s="884">
        <f>'DCF - Financials'!L77+'DCF - Financials'!L107</f>
        <v>0</v>
      </c>
      <c r="M68" s="884">
        <f>'DCF - Financials'!M77+'DCF - Financials'!M107</f>
        <v>0</v>
      </c>
      <c r="N68" s="884">
        <f>'DCF - Financials'!N77+'DCF - Financials'!N107</f>
        <v>0</v>
      </c>
      <c r="O68" s="884">
        <f>'DCF - Financials'!O77+'DCF - Financials'!O107</f>
        <v>0</v>
      </c>
      <c r="P68" s="884">
        <f>'DCF - Financials'!P77+'DCF - Financials'!P107</f>
        <v>0</v>
      </c>
      <c r="Q68" s="884">
        <f>'DCF - Financials'!Q77+'DCF - Financials'!Q107</f>
        <v>0</v>
      </c>
      <c r="R68" s="885">
        <f>'DCF - Financials'!R77+'DCF - Financials'!R107</f>
        <v>0</v>
      </c>
      <c r="T68" s="6">
        <f t="shared" si="30"/>
        <v>1</v>
      </c>
      <c r="U68" s="35">
        <v>1</v>
      </c>
      <c r="V68" s="2"/>
    </row>
    <row r="69" spans="1:22">
      <c r="A69" s="19"/>
      <c r="B69" s="881" t="s">
        <v>45</v>
      </c>
      <c r="C69" s="816"/>
      <c r="D69" s="816"/>
      <c r="E69" s="816"/>
      <c r="F69" s="816">
        <f t="shared" ref="F69:R69" si="32">SUM(F64:F68)</f>
        <v>430.53599999999977</v>
      </c>
      <c r="G69" s="816">
        <f t="shared" si="32"/>
        <v>1071.7000000000005</v>
      </c>
      <c r="H69" s="816">
        <f t="shared" si="32"/>
        <v>-58.299999999999955</v>
      </c>
      <c r="I69" s="816">
        <f t="shared" si="32"/>
        <v>2191.900000000001</v>
      </c>
      <c r="J69" s="816">
        <f t="shared" si="32"/>
        <v>-1045.4000000000005</v>
      </c>
      <c r="K69" s="816">
        <f t="shared" si="32"/>
        <v>0</v>
      </c>
      <c r="L69" s="816">
        <f t="shared" si="32"/>
        <v>0</v>
      </c>
      <c r="M69" s="816">
        <f t="shared" si="32"/>
        <v>0</v>
      </c>
      <c r="N69" s="816">
        <f t="shared" si="32"/>
        <v>0</v>
      </c>
      <c r="O69" s="816">
        <f t="shared" si="32"/>
        <v>0</v>
      </c>
      <c r="P69" s="816">
        <f t="shared" si="32"/>
        <v>0</v>
      </c>
      <c r="Q69" s="816">
        <f t="shared" si="32"/>
        <v>0</v>
      </c>
      <c r="R69" s="817">
        <f t="shared" si="32"/>
        <v>0</v>
      </c>
      <c r="T69" s="6">
        <f t="shared" si="30"/>
        <v>1</v>
      </c>
      <c r="U69" s="35">
        <v>1</v>
      </c>
      <c r="V69" s="7"/>
    </row>
    <row r="70" spans="1:22">
      <c r="B70" s="813" t="s">
        <v>44</v>
      </c>
      <c r="C70" s="804"/>
      <c r="D70" s="804"/>
      <c r="E70" s="804"/>
      <c r="F70" s="879">
        <f>'DCF - Financials'!F84+'DCF - Financials'!F85</f>
        <v>-524.9</v>
      </c>
      <c r="G70" s="879">
        <f>'DCF - Financials'!G84+'DCF - Financials'!G85</f>
        <v>0</v>
      </c>
      <c r="H70" s="879">
        <f>'DCF - Financials'!H84+'DCF - Financials'!H85</f>
        <v>0</v>
      </c>
      <c r="I70" s="879">
        <f>'DCF - Financials'!I84+'DCF - Financials'!I85</f>
        <v>0</v>
      </c>
      <c r="J70" s="879">
        <f>'DCF - Financials'!J84+'DCF - Financials'!J85</f>
        <v>0</v>
      </c>
      <c r="K70" s="879">
        <f>'DCF - Financials'!K84+'DCF - Financials'!K85</f>
        <v>0</v>
      </c>
      <c r="L70" s="879">
        <f>'DCF - Financials'!L84+'DCF - Financials'!L85</f>
        <v>0</v>
      </c>
      <c r="M70" s="879">
        <f>'DCF - Financials'!M84+'DCF - Financials'!M85</f>
        <v>0</v>
      </c>
      <c r="N70" s="879">
        <f>'DCF - Financials'!N84+'DCF - Financials'!N85</f>
        <v>0</v>
      </c>
      <c r="O70" s="879">
        <f>'DCF - Financials'!O84+'DCF - Financials'!O85</f>
        <v>0</v>
      </c>
      <c r="P70" s="879">
        <f>'DCF - Financials'!P84+'DCF - Financials'!P85</f>
        <v>0</v>
      </c>
      <c r="Q70" s="879">
        <f>'DCF - Financials'!Q84+'DCF - Financials'!Q85</f>
        <v>0</v>
      </c>
      <c r="R70" s="882">
        <f>'DCF - Financials'!R84+'DCF - Financials'!R85</f>
        <v>0</v>
      </c>
      <c r="T70" s="6">
        <f t="shared" si="30"/>
        <v>1</v>
      </c>
      <c r="U70" s="35">
        <v>1</v>
      </c>
      <c r="V70" s="2"/>
    </row>
    <row r="71" spans="1:22">
      <c r="B71" s="813" t="s">
        <v>43</v>
      </c>
      <c r="C71" s="804"/>
      <c r="D71" s="804"/>
      <c r="E71" s="804"/>
      <c r="F71" s="879">
        <f>'DCF - Financials'!F93</f>
        <v>-376.5</v>
      </c>
      <c r="G71" s="879">
        <f>'DCF - Financials'!G93</f>
        <v>-371.8</v>
      </c>
      <c r="H71" s="879">
        <f>'DCF - Financials'!H93</f>
        <v>-374.5</v>
      </c>
      <c r="I71" s="879">
        <f>'DCF - Financials'!I93</f>
        <v>-378</v>
      </c>
      <c r="J71" s="879">
        <f>'DCF - Financials'!J93</f>
        <v>-384.1</v>
      </c>
      <c r="K71" s="879">
        <f>'DCF - Financials'!K93</f>
        <v>0</v>
      </c>
      <c r="L71" s="879">
        <f>'DCF - Financials'!L93</f>
        <v>0</v>
      </c>
      <c r="M71" s="879">
        <f>'DCF - Financials'!M93</f>
        <v>0</v>
      </c>
      <c r="N71" s="879">
        <f>'DCF - Financials'!N93</f>
        <v>0</v>
      </c>
      <c r="O71" s="879">
        <f>'DCF - Financials'!O93</f>
        <v>0</v>
      </c>
      <c r="P71" s="879">
        <f>'DCF - Financials'!P93</f>
        <v>0</v>
      </c>
      <c r="Q71" s="879">
        <f>'DCF - Financials'!Q93</f>
        <v>0</v>
      </c>
      <c r="R71" s="882">
        <f>'DCF - Financials'!R93</f>
        <v>0</v>
      </c>
      <c r="T71" s="6">
        <f t="shared" si="30"/>
        <v>1</v>
      </c>
      <c r="U71" s="35">
        <v>1</v>
      </c>
      <c r="V71" s="2"/>
    </row>
    <row r="72" spans="1:22">
      <c r="B72" s="881" t="s">
        <v>42</v>
      </c>
      <c r="C72" s="886"/>
      <c r="D72" s="886"/>
      <c r="E72" s="886"/>
      <c r="F72" s="816">
        <f t="shared" ref="F72:R72" si="33">SUM(F69:F71)</f>
        <v>-470.8640000000002</v>
      </c>
      <c r="G72" s="816">
        <f t="shared" si="33"/>
        <v>699.90000000000055</v>
      </c>
      <c r="H72" s="816">
        <f t="shared" si="33"/>
        <v>-432.79999999999995</v>
      </c>
      <c r="I72" s="816">
        <f t="shared" si="33"/>
        <v>1813.900000000001</v>
      </c>
      <c r="J72" s="816">
        <f t="shared" si="33"/>
        <v>-1429.5000000000005</v>
      </c>
      <c r="K72" s="816">
        <f t="shared" si="33"/>
        <v>0</v>
      </c>
      <c r="L72" s="816">
        <f t="shared" si="33"/>
        <v>0</v>
      </c>
      <c r="M72" s="816">
        <f t="shared" si="33"/>
        <v>0</v>
      </c>
      <c r="N72" s="816">
        <f t="shared" si="33"/>
        <v>0</v>
      </c>
      <c r="O72" s="816">
        <f t="shared" si="33"/>
        <v>0</v>
      </c>
      <c r="P72" s="816">
        <f t="shared" si="33"/>
        <v>0</v>
      </c>
      <c r="Q72" s="816">
        <f t="shared" si="33"/>
        <v>0</v>
      </c>
      <c r="R72" s="817">
        <f t="shared" si="33"/>
        <v>0</v>
      </c>
      <c r="T72" s="6">
        <f t="shared" si="30"/>
        <v>1</v>
      </c>
      <c r="U72" s="35">
        <v>1</v>
      </c>
      <c r="V72" s="1"/>
    </row>
    <row r="73" spans="1:22">
      <c r="B73" s="887"/>
      <c r="C73" s="888"/>
      <c r="D73" s="888"/>
      <c r="E73" s="888"/>
      <c r="F73" s="889"/>
      <c r="G73" s="889"/>
      <c r="H73" s="889"/>
      <c r="I73" s="889"/>
      <c r="J73" s="889"/>
      <c r="K73" s="889"/>
      <c r="L73" s="889"/>
      <c r="M73" s="889"/>
      <c r="N73" s="889"/>
      <c r="O73" s="889"/>
      <c r="P73" s="889"/>
      <c r="Q73" s="889"/>
      <c r="R73" s="890"/>
      <c r="T73" s="6">
        <f t="shared" si="30"/>
        <v>0</v>
      </c>
      <c r="U73" s="35">
        <v>0</v>
      </c>
      <c r="V73" s="1"/>
    </row>
    <row r="74" spans="1:22">
      <c r="B74" s="881" t="s">
        <v>41</v>
      </c>
      <c r="C74" s="816"/>
      <c r="D74" s="816"/>
      <c r="E74" s="816"/>
      <c r="F74" s="816">
        <f>'DCF - Financials'!F101</f>
        <v>591.93599999999958</v>
      </c>
      <c r="G74" s="816">
        <f>'DCF - Financials'!G101</f>
        <v>1291.8000000000004</v>
      </c>
      <c r="H74" s="816">
        <f>'DCF - Financials'!H101</f>
        <v>859.00000000000057</v>
      </c>
      <c r="I74" s="816">
        <f>'DCF - Financials'!I101</f>
        <v>2672.9</v>
      </c>
      <c r="J74" s="816">
        <f>'DCF - Financials'!J101</f>
        <v>1243.4000000000001</v>
      </c>
      <c r="K74" s="816">
        <f>'DCF - Financials'!K101</f>
        <v>0</v>
      </c>
      <c r="L74" s="816">
        <f>'DCF - Financials'!L101</f>
        <v>0</v>
      </c>
      <c r="M74" s="816">
        <f>'DCF - Financials'!M101</f>
        <v>0</v>
      </c>
      <c r="N74" s="816">
        <f>'DCF - Financials'!N101</f>
        <v>0</v>
      </c>
      <c r="O74" s="816">
        <f>'DCF - Financials'!O101</f>
        <v>0</v>
      </c>
      <c r="P74" s="816">
        <f>'DCF - Financials'!P101</f>
        <v>0</v>
      </c>
      <c r="Q74" s="816">
        <f>'DCF - Financials'!Q101</f>
        <v>0</v>
      </c>
      <c r="R74" s="817">
        <f>'DCF - Financials'!R101</f>
        <v>0</v>
      </c>
      <c r="T74" s="6">
        <f t="shared" si="30"/>
        <v>1</v>
      </c>
      <c r="U74" s="35">
        <v>1</v>
      </c>
      <c r="V74" s="1"/>
    </row>
    <row r="75" spans="1:22">
      <c r="B75" s="891" t="s">
        <v>40</v>
      </c>
      <c r="C75" s="815"/>
      <c r="D75" s="815"/>
      <c r="E75" s="815"/>
      <c r="F75" s="815">
        <f>'DCF - Capital Structure'!F12</f>
        <v>140.5</v>
      </c>
      <c r="G75" s="815">
        <f>'DCF - Capital Structure'!G12</f>
        <v>1036.7</v>
      </c>
      <c r="H75" s="815">
        <f>'DCF - Capital Structure'!H12</f>
        <v>1021.7</v>
      </c>
      <c r="I75" s="815">
        <f>'DCF - Capital Structure'!I12</f>
        <v>1733.9</v>
      </c>
      <c r="J75" s="815">
        <f>'DCF - Capital Structure'!J12</f>
        <v>1733.9</v>
      </c>
      <c r="K75" s="815">
        <f>'DCF - Capital Structure'!K12</f>
        <v>1733.9</v>
      </c>
      <c r="L75" s="815">
        <f>'DCF - Capital Structure'!L12</f>
        <v>1733.9</v>
      </c>
      <c r="M75" s="815">
        <f>'DCF - Capital Structure'!M12</f>
        <v>1733.9</v>
      </c>
      <c r="N75" s="815">
        <f>'DCF - Capital Structure'!N12</f>
        <v>1733.9</v>
      </c>
      <c r="O75" s="815">
        <f>'DCF - Capital Structure'!O12</f>
        <v>1733.9</v>
      </c>
      <c r="P75" s="815">
        <f>'DCF - Capital Structure'!P12</f>
        <v>1733.9</v>
      </c>
      <c r="Q75" s="815">
        <f>'DCF - Capital Structure'!Q12</f>
        <v>1733.9</v>
      </c>
      <c r="R75" s="892">
        <f>'DCF - Capital Structure'!R12</f>
        <v>1733.9</v>
      </c>
      <c r="T75" s="6">
        <f t="shared" si="30"/>
        <v>1</v>
      </c>
      <c r="U75" s="35">
        <v>1</v>
      </c>
      <c r="V75" s="1"/>
    </row>
    <row r="76" spans="1:22">
      <c r="B76" s="891" t="s">
        <v>39</v>
      </c>
      <c r="C76" s="815"/>
      <c r="D76" s="815"/>
      <c r="E76" s="815"/>
      <c r="F76" s="815">
        <f t="shared" ref="F76:R76" si="34">F75-F74</f>
        <v>-451.43599999999958</v>
      </c>
      <c r="G76" s="815">
        <f t="shared" si="34"/>
        <v>-255.10000000000036</v>
      </c>
      <c r="H76" s="815">
        <f t="shared" si="34"/>
        <v>162.69999999999948</v>
      </c>
      <c r="I76" s="815">
        <f t="shared" si="34"/>
        <v>-939</v>
      </c>
      <c r="J76" s="815">
        <f t="shared" si="34"/>
        <v>490.5</v>
      </c>
      <c r="K76" s="815">
        <f t="shared" si="34"/>
        <v>1733.9</v>
      </c>
      <c r="L76" s="815">
        <f t="shared" si="34"/>
        <v>1733.9</v>
      </c>
      <c r="M76" s="815">
        <f t="shared" si="34"/>
        <v>1733.9</v>
      </c>
      <c r="N76" s="815">
        <f t="shared" si="34"/>
        <v>1733.9</v>
      </c>
      <c r="O76" s="815">
        <f t="shared" si="34"/>
        <v>1733.9</v>
      </c>
      <c r="P76" s="815">
        <f t="shared" si="34"/>
        <v>1733.9</v>
      </c>
      <c r="Q76" s="815">
        <f t="shared" si="34"/>
        <v>1733.9</v>
      </c>
      <c r="R76" s="892">
        <f t="shared" si="34"/>
        <v>1733.9</v>
      </c>
      <c r="T76" s="6">
        <f t="shared" si="30"/>
        <v>1</v>
      </c>
      <c r="U76" s="35">
        <v>1</v>
      </c>
      <c r="V76" s="1"/>
    </row>
    <row r="77" spans="1:22">
      <c r="B77" s="893" t="s">
        <v>38</v>
      </c>
      <c r="C77" s="894"/>
      <c r="D77" s="894"/>
      <c r="E77" s="894"/>
      <c r="F77" s="894"/>
      <c r="G77" s="894">
        <f>'DCF - Capital Structure'!G59</f>
        <v>6.4</v>
      </c>
      <c r="H77" s="894">
        <f>'DCF - Capital Structure'!H59</f>
        <v>26.9</v>
      </c>
      <c r="I77" s="894">
        <f>'DCF - Capital Structure'!I59</f>
        <v>28.4</v>
      </c>
      <c r="J77" s="894">
        <f>'DCF - Capital Structure'!J59</f>
        <v>74</v>
      </c>
      <c r="K77" s="894">
        <f>'DCF - Capital Structure'!K59</f>
        <v>0</v>
      </c>
      <c r="L77" s="894">
        <f>'DCF - Capital Structure'!L59</f>
        <v>0</v>
      </c>
      <c r="M77" s="894">
        <f>'DCF - Capital Structure'!M59</f>
        <v>0</v>
      </c>
      <c r="N77" s="894">
        <f>'DCF - Capital Structure'!N59</f>
        <v>0</v>
      </c>
      <c r="O77" s="894">
        <f>'DCF - Capital Structure'!O59</f>
        <v>0</v>
      </c>
      <c r="P77" s="894">
        <f>'DCF - Capital Structure'!P59</f>
        <v>0</v>
      </c>
      <c r="Q77" s="894">
        <f>'DCF - Capital Structure'!Q59</f>
        <v>0</v>
      </c>
      <c r="R77" s="895">
        <f>'DCF - Capital Structure'!R59</f>
        <v>0</v>
      </c>
      <c r="T77" s="6">
        <f t="shared" si="30"/>
        <v>1</v>
      </c>
      <c r="U77" s="35">
        <v>1</v>
      </c>
      <c r="V77" s="1"/>
    </row>
    <row r="78" spans="1:22">
      <c r="B78" s="896"/>
      <c r="C78" s="897"/>
      <c r="D78" s="897"/>
      <c r="E78" s="897"/>
      <c r="F78" s="897"/>
      <c r="G78" s="897"/>
      <c r="H78" s="897"/>
      <c r="I78" s="897"/>
      <c r="J78" s="897"/>
      <c r="K78" s="897"/>
      <c r="L78" s="897"/>
      <c r="M78" s="897"/>
      <c r="N78" s="897"/>
      <c r="O78" s="897"/>
      <c r="P78" s="897"/>
      <c r="Q78" s="897"/>
      <c r="R78" s="898"/>
      <c r="T78" s="6">
        <f t="shared" si="30"/>
        <v>0</v>
      </c>
      <c r="U78" s="35">
        <v>0</v>
      </c>
      <c r="V78" s="1"/>
    </row>
    <row r="79" spans="1:22">
      <c r="B79" s="899" t="s">
        <v>37</v>
      </c>
      <c r="C79" s="900"/>
      <c r="D79" s="900"/>
      <c r="E79" s="900"/>
      <c r="F79" s="901">
        <v>0</v>
      </c>
      <c r="G79" s="901">
        <f t="shared" ref="G79:R79" si="35">IFERROR(G76/G60,0)</f>
        <v>-0.26462655601659774</v>
      </c>
      <c r="H79" s="901">
        <f t="shared" si="35"/>
        <v>0.16642798690670976</v>
      </c>
      <c r="I79" s="901">
        <f t="shared" si="35"/>
        <v>-0.86456127428413543</v>
      </c>
      <c r="J79" s="901">
        <f t="shared" si="35"/>
        <v>0.42752549463958872</v>
      </c>
      <c r="K79" s="901">
        <f t="shared" si="35"/>
        <v>0</v>
      </c>
      <c r="L79" s="901">
        <f t="shared" si="35"/>
        <v>0</v>
      </c>
      <c r="M79" s="901">
        <f t="shared" si="35"/>
        <v>0</v>
      </c>
      <c r="N79" s="901">
        <f t="shared" si="35"/>
        <v>0</v>
      </c>
      <c r="O79" s="901">
        <f t="shared" si="35"/>
        <v>0</v>
      </c>
      <c r="P79" s="901">
        <f t="shared" si="35"/>
        <v>0</v>
      </c>
      <c r="Q79" s="901">
        <f t="shared" si="35"/>
        <v>0</v>
      </c>
      <c r="R79" s="902">
        <f t="shared" si="35"/>
        <v>0</v>
      </c>
      <c r="T79" s="6">
        <f t="shared" si="30"/>
        <v>1</v>
      </c>
      <c r="U79" s="35">
        <v>1</v>
      </c>
      <c r="V79" s="1"/>
    </row>
    <row r="80" spans="1:22">
      <c r="B80" s="865" t="s">
        <v>36</v>
      </c>
      <c r="C80" s="903"/>
      <c r="D80" s="903"/>
      <c r="E80" s="903"/>
      <c r="F80" s="904">
        <f t="shared" ref="F80:R80" si="36">IFERROR(F60/F77,0)</f>
        <v>0</v>
      </c>
      <c r="G80" s="904">
        <f t="shared" si="36"/>
        <v>150.62500000000006</v>
      </c>
      <c r="H80" s="904">
        <f t="shared" si="36"/>
        <v>36.342007434944243</v>
      </c>
      <c r="I80" s="904">
        <f t="shared" si="36"/>
        <v>38.242957746478893</v>
      </c>
      <c r="J80" s="904">
        <f t="shared" si="36"/>
        <v>15.50405405405405</v>
      </c>
      <c r="K80" s="904">
        <f t="shared" si="36"/>
        <v>0</v>
      </c>
      <c r="L80" s="904">
        <f t="shared" si="36"/>
        <v>0</v>
      </c>
      <c r="M80" s="904">
        <f t="shared" si="36"/>
        <v>0</v>
      </c>
      <c r="N80" s="904">
        <f t="shared" si="36"/>
        <v>0</v>
      </c>
      <c r="O80" s="904">
        <f t="shared" si="36"/>
        <v>0</v>
      </c>
      <c r="P80" s="904">
        <f t="shared" si="36"/>
        <v>0</v>
      </c>
      <c r="Q80" s="904">
        <f t="shared" si="36"/>
        <v>0</v>
      </c>
      <c r="R80" s="905">
        <f t="shared" si="36"/>
        <v>0</v>
      </c>
      <c r="T80" s="6">
        <f t="shared" si="30"/>
        <v>1</v>
      </c>
      <c r="U80" s="35">
        <v>1</v>
      </c>
      <c r="V80" s="1"/>
    </row>
    <row r="81" spans="1:22">
      <c r="B81" s="906"/>
      <c r="C81" s="804"/>
      <c r="D81" s="804"/>
      <c r="E81" s="804"/>
      <c r="F81" s="879"/>
      <c r="G81" s="879"/>
      <c r="H81" s="879"/>
      <c r="I81" s="879"/>
      <c r="J81" s="879"/>
      <c r="K81" s="879"/>
      <c r="L81" s="879"/>
      <c r="M81" s="879"/>
      <c r="N81" s="879"/>
      <c r="O81" s="879"/>
      <c r="P81" s="879"/>
      <c r="Q81" s="879"/>
      <c r="R81" s="882"/>
      <c r="T81" s="6">
        <f t="shared" si="30"/>
        <v>0</v>
      </c>
      <c r="U81" s="35">
        <v>0</v>
      </c>
      <c r="V81" s="1"/>
    </row>
    <row r="82" spans="1:22">
      <c r="B82" s="907" t="s">
        <v>35</v>
      </c>
      <c r="C82" s="908"/>
      <c r="D82" s="908"/>
      <c r="E82" s="908"/>
      <c r="F82" s="909">
        <f>'DCF - Assumptions'!F97</f>
        <v>277.79000000000002</v>
      </c>
      <c r="G82" s="909">
        <f>'DCF - Assumptions'!G97</f>
        <v>275.7</v>
      </c>
      <c r="H82" s="909">
        <f>'DCF - Assumptions'!H97</f>
        <v>277.60000000000002</v>
      </c>
      <c r="I82" s="909">
        <f>'DCF - Assumptions'!I97</f>
        <v>280.60000000000002</v>
      </c>
      <c r="J82" s="909">
        <f>'DCF - Assumptions'!J97</f>
        <v>285.39999999999998</v>
      </c>
      <c r="K82" s="910">
        <f>'DCF - Assumptions'!K97</f>
        <v>285.39999999999998</v>
      </c>
      <c r="L82" s="910">
        <f>'DCF - Assumptions'!L97</f>
        <v>285.39999999999998</v>
      </c>
      <c r="M82" s="910">
        <f>'DCF - Assumptions'!M97</f>
        <v>285.39999999999998</v>
      </c>
      <c r="N82" s="910">
        <f>'DCF - Assumptions'!N97</f>
        <v>285.39999999999998</v>
      </c>
      <c r="O82" s="910">
        <f>'DCF - Assumptions'!O97</f>
        <v>285.39999999999998</v>
      </c>
      <c r="P82" s="910">
        <f>'DCF - Assumptions'!P97</f>
        <v>285.39999999999998</v>
      </c>
      <c r="Q82" s="910">
        <f>'DCF - Assumptions'!Q97</f>
        <v>285.39999999999998</v>
      </c>
      <c r="R82" s="911">
        <f>'DCF - Assumptions'!R97</f>
        <v>285.39999999999998</v>
      </c>
      <c r="T82" s="6">
        <f t="shared" si="30"/>
        <v>1</v>
      </c>
      <c r="U82" s="35">
        <v>1</v>
      </c>
      <c r="V82" s="1"/>
    </row>
    <row r="83" spans="1:22">
      <c r="B83" s="912" t="s">
        <v>34</v>
      </c>
      <c r="C83" s="913"/>
      <c r="D83" s="913"/>
      <c r="E83" s="913"/>
      <c r="F83" s="914">
        <f>'DCF - Assumptions'!F98</f>
        <v>280.37900000000002</v>
      </c>
      <c r="G83" s="914">
        <f>'DCF - Assumptions'!G98</f>
        <v>277.2</v>
      </c>
      <c r="H83" s="914">
        <f>'DCF - Assumptions'!H98</f>
        <v>279.3</v>
      </c>
      <c r="I83" s="914">
        <f>'DCF - Assumptions'!I98</f>
        <v>282.8</v>
      </c>
      <c r="J83" s="914">
        <f>'DCF - Assumptions'!J98</f>
        <v>288.60000000000002</v>
      </c>
      <c r="K83" s="915">
        <f>'DCF - Assumptions'!K98</f>
        <v>288.60000000000002</v>
      </c>
      <c r="L83" s="915">
        <f>'DCF - Assumptions'!L98</f>
        <v>288.60000000000002</v>
      </c>
      <c r="M83" s="915">
        <f>'DCF - Assumptions'!M98</f>
        <v>288.60000000000002</v>
      </c>
      <c r="N83" s="915">
        <f>'DCF - Assumptions'!N98</f>
        <v>288.60000000000002</v>
      </c>
      <c r="O83" s="915">
        <f>'DCF - Assumptions'!O98</f>
        <v>288.60000000000002</v>
      </c>
      <c r="P83" s="915">
        <f>'DCF - Assumptions'!P98</f>
        <v>288.60000000000002</v>
      </c>
      <c r="Q83" s="915">
        <f>'DCF - Assumptions'!Q98</f>
        <v>288.60000000000002</v>
      </c>
      <c r="R83" s="916">
        <f>'DCF - Assumptions'!R98</f>
        <v>288.60000000000002</v>
      </c>
      <c r="T83" s="6">
        <f t="shared" si="30"/>
        <v>1</v>
      </c>
      <c r="U83" s="35">
        <v>1</v>
      </c>
      <c r="V83" s="1"/>
    </row>
    <row r="84" spans="1:22">
      <c r="B84" s="912" t="str">
        <f>'DCF - Financials'!B47</f>
        <v>Diluted adjusted earnings (loss) per share</v>
      </c>
      <c r="C84" s="913"/>
      <c r="D84" s="913"/>
      <c r="E84" s="913"/>
      <c r="F84" s="917">
        <f>'DCF - Financials'!F47</f>
        <v>2.7867136982441609</v>
      </c>
      <c r="G84" s="917">
        <f>'DCF - Financials'!G47</f>
        <v>1.4516594516594534</v>
      </c>
      <c r="H84" s="917">
        <f>'DCF - Financials'!H47</f>
        <v>1.6487647690655229</v>
      </c>
      <c r="I84" s="917">
        <f>'DCF - Financials'!I47</f>
        <v>2.0898161244695896</v>
      </c>
      <c r="J84" s="917">
        <f>'DCF - Financials'!J47</f>
        <v>1.3773388773388775</v>
      </c>
      <c r="K84" s="917">
        <f>'DCF - Financials'!K47</f>
        <v>0</v>
      </c>
      <c r="L84" s="917">
        <f>'DCF - Financials'!L47</f>
        <v>0</v>
      </c>
      <c r="M84" s="917">
        <f>'DCF - Financials'!M47</f>
        <v>0</v>
      </c>
      <c r="N84" s="917">
        <f>'DCF - Financials'!N47</f>
        <v>0</v>
      </c>
      <c r="O84" s="917">
        <f>'DCF - Financials'!O47</f>
        <v>0</v>
      </c>
      <c r="P84" s="917">
        <f>'DCF - Financials'!P47</f>
        <v>0</v>
      </c>
      <c r="Q84" s="917">
        <f>'DCF - Financials'!Q47</f>
        <v>0</v>
      </c>
      <c r="R84" s="918">
        <f>'DCF - Financials'!R47</f>
        <v>0</v>
      </c>
      <c r="T84" s="6">
        <f t="shared" si="30"/>
        <v>1</v>
      </c>
      <c r="U84" s="35">
        <v>1</v>
      </c>
      <c r="V84" s="1"/>
    </row>
    <row r="85" spans="1:22">
      <c r="B85" s="912" t="str">
        <f>'DCF - Financials'!B48</f>
        <v>Dividend per share (diluted)</v>
      </c>
      <c r="C85" s="919"/>
      <c r="D85" s="919"/>
      <c r="E85" s="919"/>
      <c r="F85" s="917">
        <f>'DCF - Financials'!F48</f>
        <v>1.3428252472546089</v>
      </c>
      <c r="G85" s="917">
        <f>'DCF - Financials'!G48</f>
        <v>1.3412698412698414</v>
      </c>
      <c r="H85" s="917">
        <f>'DCF - Financials'!H48</f>
        <v>1.3408521303258145</v>
      </c>
      <c r="I85" s="917">
        <f>'DCF - Financials'!I48</f>
        <v>1.3366336633663365</v>
      </c>
      <c r="J85" s="917">
        <f>'DCF - Financials'!J48</f>
        <v>1.3309078309078308</v>
      </c>
      <c r="K85" s="917">
        <f>'DCF - Financials'!K48</f>
        <v>0</v>
      </c>
      <c r="L85" s="917">
        <f>'DCF - Financials'!L48</f>
        <v>0</v>
      </c>
      <c r="M85" s="917">
        <f>'DCF - Financials'!M48</f>
        <v>0</v>
      </c>
      <c r="N85" s="917">
        <f>'DCF - Financials'!N48</f>
        <v>0</v>
      </c>
      <c r="O85" s="917">
        <f>'DCF - Financials'!O48</f>
        <v>0</v>
      </c>
      <c r="P85" s="917">
        <f>'DCF - Financials'!P48</f>
        <v>0</v>
      </c>
      <c r="Q85" s="917">
        <f>'DCF - Financials'!Q48</f>
        <v>0</v>
      </c>
      <c r="R85" s="918">
        <f>'DCF - Financials'!R48</f>
        <v>0</v>
      </c>
      <c r="T85" s="6">
        <f t="shared" si="30"/>
        <v>1</v>
      </c>
      <c r="U85" s="35">
        <v>1</v>
      </c>
      <c r="V85" s="1"/>
    </row>
    <row r="86" spans="1:22">
      <c r="B86" s="920" t="str">
        <f>'DCF - Financials'!B49</f>
        <v xml:space="preserve">Equity cashflow per share (diluted including debt drawdowns) </v>
      </c>
      <c r="C86" s="921"/>
      <c r="D86" s="921">
        <f>'DCF - Financials'!D49</f>
        <v>0</v>
      </c>
      <c r="E86" s="921">
        <f>'DCF - Financials'!E49</f>
        <v>0</v>
      </c>
      <c r="F86" s="922">
        <f>'DCF - Financials'!F49</f>
        <v>4.8285927262740778</v>
      </c>
      <c r="G86" s="922">
        <f>'DCF - Financials'!G49</f>
        <v>6.504689754689756</v>
      </c>
      <c r="H86" s="922">
        <f>'DCF - Financials'!H49</f>
        <v>4.3626924453992135</v>
      </c>
      <c r="I86" s="922">
        <f>'DCF - Financials'!I49</f>
        <v>9.780410183875528</v>
      </c>
      <c r="J86" s="922">
        <f>'DCF - Financials'!J49</f>
        <v>1.8277893277893291</v>
      </c>
      <c r="K86" s="922">
        <f>'DCF - Financials'!K49</f>
        <v>0</v>
      </c>
      <c r="L86" s="922">
        <f>'DCF - Financials'!L49</f>
        <v>0</v>
      </c>
      <c r="M86" s="922">
        <f>'DCF - Financials'!M49</f>
        <v>0</v>
      </c>
      <c r="N86" s="922">
        <f>'DCF - Financials'!N49</f>
        <v>0</v>
      </c>
      <c r="O86" s="922">
        <f>'DCF - Financials'!O49</f>
        <v>0</v>
      </c>
      <c r="P86" s="922">
        <f>'DCF - Financials'!P49</f>
        <v>0</v>
      </c>
      <c r="Q86" s="922">
        <f>'DCF - Financials'!Q49</f>
        <v>0</v>
      </c>
      <c r="R86" s="923">
        <f>'DCF - Financials'!R49</f>
        <v>0</v>
      </c>
      <c r="T86" s="6">
        <f t="shared" si="30"/>
        <v>1</v>
      </c>
      <c r="U86" s="35">
        <v>1</v>
      </c>
      <c r="V86" s="1"/>
    </row>
    <row r="87" spans="1:22">
      <c r="B87" s="924"/>
      <c r="C87" s="924"/>
      <c r="D87" s="924"/>
      <c r="E87" s="924"/>
      <c r="F87" s="925" t="s">
        <v>33</v>
      </c>
      <c r="G87" s="925"/>
      <c r="H87" s="925"/>
      <c r="I87" s="925"/>
      <c r="J87" s="925"/>
      <c r="K87" s="925"/>
      <c r="L87" s="925"/>
      <c r="M87" s="925"/>
      <c r="N87" s="925"/>
      <c r="O87" s="925"/>
      <c r="P87" s="925"/>
      <c r="Q87" s="879"/>
      <c r="R87" s="1067"/>
      <c r="T87" s="6">
        <f t="shared" si="30"/>
        <v>0</v>
      </c>
      <c r="U87" s="35">
        <v>0</v>
      </c>
      <c r="V87" s="1"/>
    </row>
    <row r="88" spans="1:22">
      <c r="B88" s="926" t="s">
        <v>32</v>
      </c>
      <c r="C88" s="927"/>
      <c r="D88" s="927"/>
      <c r="E88" s="927"/>
      <c r="F88" s="928" t="str">
        <f>IF(ROUND(F72-'DCF - Financials'!F100,1)=0,"OK", F72-'DCF - Financials'!F100)</f>
        <v>OK</v>
      </c>
      <c r="G88" s="928" t="str">
        <f>IF(ROUND(G72-'DCF - Financials'!G100,1)=0,"OK", G72-'DCF - Financials'!G100)</f>
        <v>OK</v>
      </c>
      <c r="H88" s="928" t="str">
        <f>IF(ROUND(H72-'DCF - Financials'!H100,1)=0,"OK", H72-'DCF - Financials'!H100)</f>
        <v>OK</v>
      </c>
      <c r="I88" s="928" t="str">
        <f>IF(ROUND(I72-'DCF - Financials'!I100,1)=0,"OK", I72-'DCF - Financials'!I100)</f>
        <v>OK</v>
      </c>
      <c r="J88" s="928" t="str">
        <f>IF(ROUND(J72-'DCF - Financials'!J100,1)=0,"OK", J72-'DCF - Financials'!J100)</f>
        <v>OK</v>
      </c>
      <c r="K88" s="928" t="str">
        <f>IF(ROUND(K72-'DCF - Financials'!K100,1)=0,"OK", K72-'DCF - Financials'!K100)</f>
        <v>OK</v>
      </c>
      <c r="L88" s="928" t="str">
        <f>IF(ROUND(L72-'DCF - Financials'!L100,1)=0,"OK", L72-'DCF - Financials'!L100)</f>
        <v>OK</v>
      </c>
      <c r="M88" s="928" t="str">
        <f>IF(ROUND(M72-'DCF - Financials'!M100,1)=0,"OK", M72-'DCF - Financials'!M100)</f>
        <v>OK</v>
      </c>
      <c r="N88" s="928" t="str">
        <f>IF(ROUND(N72-'DCF - Financials'!N100,1)=0,"OK", N72-'DCF - Financials'!N100)</f>
        <v>OK</v>
      </c>
      <c r="O88" s="928" t="str">
        <f>IF(ROUND(O72-'DCF - Financials'!O100,1)=0,"OK", O72-'DCF - Financials'!O100)</f>
        <v>OK</v>
      </c>
      <c r="P88" s="928" t="str">
        <f>IF(ROUND(P72-'DCF - Financials'!P100,1)=0,"OK", P72-'DCF - Financials'!P100)</f>
        <v>OK</v>
      </c>
      <c r="Q88" s="928" t="str">
        <f>IF(ROUND(Q72-'DCF - Financials'!Q100,1)=0,"OK", Q72-'DCF - Financials'!Q100)</f>
        <v>OK</v>
      </c>
      <c r="R88" s="929" t="str">
        <f>IF(ROUND(R72-'DCF - Financials'!R100,1)=0,"OK", R72-'DCF - Financials'!R100)</f>
        <v>OK</v>
      </c>
      <c r="T88" s="6">
        <f t="shared" si="30"/>
        <v>1</v>
      </c>
      <c r="U88" s="35">
        <v>1</v>
      </c>
      <c r="V88" s="1"/>
    </row>
    <row r="89" spans="1:22">
      <c r="A89" s="19"/>
      <c r="B89" s="930"/>
      <c r="C89" s="931"/>
      <c r="D89" s="931"/>
      <c r="E89" s="931"/>
      <c r="F89" s="931"/>
      <c r="G89" s="931"/>
      <c r="H89" s="931"/>
      <c r="I89" s="931"/>
      <c r="J89" s="931"/>
      <c r="K89" s="931"/>
      <c r="L89" s="931"/>
      <c r="M89" s="931"/>
      <c r="N89" s="931"/>
      <c r="O89" s="931"/>
      <c r="P89" s="931"/>
      <c r="Q89" s="931"/>
      <c r="R89" s="931"/>
      <c r="S89" s="19"/>
      <c r="T89" s="6">
        <f t="shared" si="30"/>
        <v>0</v>
      </c>
      <c r="U89" s="35">
        <v>0</v>
      </c>
      <c r="V89" s="2"/>
    </row>
    <row r="90" spans="1:22">
      <c r="B90" s="727" t="s">
        <v>31</v>
      </c>
      <c r="C90" s="728"/>
      <c r="D90" s="728" t="s">
        <v>30</v>
      </c>
      <c r="E90" s="728" t="s">
        <v>30</v>
      </c>
      <c r="F90" s="728"/>
      <c r="G90" s="728"/>
      <c r="H90" s="728"/>
      <c r="I90" s="728"/>
      <c r="J90" s="728"/>
      <c r="K90" s="728"/>
      <c r="L90" s="728"/>
      <c r="M90" s="728"/>
      <c r="N90" s="728"/>
      <c r="O90" s="728"/>
      <c r="P90" s="728"/>
      <c r="Q90" s="728"/>
      <c r="R90" s="729"/>
      <c r="T90" s="6">
        <f t="shared" ref="T90:T107" si="37">IF(NOT(ISBLANK(B90)), 1, 0)</f>
        <v>1</v>
      </c>
      <c r="U90" s="35">
        <v>1</v>
      </c>
      <c r="V90" s="1"/>
    </row>
    <row r="91" spans="1:22">
      <c r="B91" s="803"/>
      <c r="C91" s="804"/>
      <c r="D91" s="804"/>
      <c r="E91" s="804"/>
      <c r="F91" s="804"/>
      <c r="G91" s="804"/>
      <c r="H91" s="804"/>
      <c r="I91" s="804"/>
      <c r="J91" s="804"/>
      <c r="K91" s="805" t="s">
        <v>29</v>
      </c>
      <c r="L91" s="805"/>
      <c r="M91" s="805"/>
      <c r="N91" s="805"/>
      <c r="O91" s="805"/>
      <c r="P91" s="805"/>
      <c r="Q91" s="805"/>
      <c r="R91" s="806"/>
      <c r="T91" s="6">
        <f t="shared" si="37"/>
        <v>0</v>
      </c>
      <c r="U91" s="35">
        <v>0</v>
      </c>
      <c r="V91" s="1"/>
    </row>
    <row r="92" spans="1:22">
      <c r="B92" s="807" t="s">
        <v>28</v>
      </c>
      <c r="C92" s="808"/>
      <c r="D92" s="808"/>
      <c r="E92" s="809"/>
      <c r="F92" s="808">
        <f>'DCF - Assumptions'!F$7</f>
        <v>2014</v>
      </c>
      <c r="G92" s="808">
        <f>'DCF - Assumptions'!G$7</f>
        <v>2015</v>
      </c>
      <c r="H92" s="808">
        <f>'DCF - Assumptions'!H$7</f>
        <v>2016</v>
      </c>
      <c r="I92" s="808">
        <f>'DCF - Assumptions'!I$7</f>
        <v>2017</v>
      </c>
      <c r="J92" s="808">
        <f>'DCF - Assumptions'!J$7</f>
        <v>2018</v>
      </c>
      <c r="K92" s="810">
        <f>'DCF - Assumptions'!K$7</f>
        <v>2019</v>
      </c>
      <c r="L92" s="810">
        <f>'DCF - Assumptions'!L$7</f>
        <v>2020</v>
      </c>
      <c r="M92" s="810">
        <f>'DCF - Assumptions'!M$7</f>
        <v>2021</v>
      </c>
      <c r="N92" s="810">
        <f>'DCF - Assumptions'!N$7</f>
        <v>2022</v>
      </c>
      <c r="O92" s="810">
        <f>'DCF - Assumptions'!O$7</f>
        <v>2023</v>
      </c>
      <c r="P92" s="811">
        <f>'DCF - Assumptions'!P$7</f>
        <v>2024</v>
      </c>
      <c r="Q92" s="810">
        <f>'DCF - Assumptions'!Q$7</f>
        <v>2025</v>
      </c>
      <c r="R92" s="812">
        <f>'DCF - Assumptions'!R$7</f>
        <v>2026</v>
      </c>
      <c r="T92" s="6">
        <f t="shared" si="37"/>
        <v>1</v>
      </c>
      <c r="U92" s="35">
        <v>1</v>
      </c>
      <c r="V92" s="1"/>
    </row>
    <row r="93" spans="1:22">
      <c r="B93" s="813" t="s">
        <v>27</v>
      </c>
      <c r="C93" s="804"/>
      <c r="D93" s="814"/>
      <c r="E93" s="814"/>
      <c r="F93" s="815">
        <f>'DCF - Valuation'!F36</f>
        <v>0</v>
      </c>
      <c r="G93" s="815">
        <f>'DCF - Valuation'!G36</f>
        <v>0</v>
      </c>
      <c r="H93" s="815">
        <f>'DCF - Valuation'!H36</f>
        <v>0</v>
      </c>
      <c r="I93" s="815">
        <f>'DCF - Valuation'!I36</f>
        <v>0</v>
      </c>
      <c r="J93" s="815">
        <f>'DCF - Valuation'!J36</f>
        <v>0</v>
      </c>
      <c r="K93" s="815">
        <f>'DCF - Valuation'!K36</f>
        <v>0</v>
      </c>
      <c r="L93" s="815">
        <f>'DCF - Valuation'!L36</f>
        <v>0</v>
      </c>
      <c r="M93" s="815">
        <f>'DCF - Valuation'!M36</f>
        <v>0</v>
      </c>
      <c r="N93" s="815">
        <f>'DCF - Valuation'!N36</f>
        <v>0</v>
      </c>
      <c r="O93" s="815">
        <f>'DCF - Valuation'!O36</f>
        <v>0</v>
      </c>
      <c r="P93" s="816">
        <f>'DCF - Valuation'!P36</f>
        <v>0</v>
      </c>
      <c r="Q93" s="815">
        <f>'DCF - Valuation'!Q36</f>
        <v>0</v>
      </c>
      <c r="R93" s="817">
        <f>'DCF - Valuation'!R36</f>
        <v>0</v>
      </c>
      <c r="T93" s="6">
        <f t="shared" si="37"/>
        <v>1</v>
      </c>
      <c r="U93" s="35">
        <v>1</v>
      </c>
      <c r="V93" s="1"/>
    </row>
    <row r="94" spans="1:22">
      <c r="B94" s="803"/>
      <c r="C94" s="804"/>
      <c r="D94" s="804"/>
      <c r="E94" s="804"/>
      <c r="F94" s="804"/>
      <c r="G94" s="804"/>
      <c r="H94" s="804"/>
      <c r="I94" s="804"/>
      <c r="J94" s="804"/>
      <c r="K94" s="804"/>
      <c r="L94" s="804"/>
      <c r="M94" s="804"/>
      <c r="N94" s="804"/>
      <c r="O94" s="804"/>
      <c r="P94" s="804"/>
      <c r="Q94" s="804"/>
      <c r="R94" s="818"/>
      <c r="T94" s="6">
        <f t="shared" si="37"/>
        <v>0</v>
      </c>
      <c r="U94" s="35">
        <v>0</v>
      </c>
      <c r="V94" s="1"/>
    </row>
    <row r="95" spans="1:22">
      <c r="B95" s="807" t="s">
        <v>26</v>
      </c>
      <c r="C95" s="809"/>
      <c r="D95" s="819"/>
      <c r="E95" s="804"/>
      <c r="F95" s="804"/>
      <c r="G95" s="809" t="s">
        <v>25</v>
      </c>
      <c r="H95" s="809"/>
      <c r="I95" s="809"/>
      <c r="J95" s="808"/>
      <c r="K95" s="820"/>
      <c r="L95" s="809" t="s">
        <v>24</v>
      </c>
      <c r="M95" s="808"/>
      <c r="N95" s="808"/>
      <c r="O95" s="821"/>
      <c r="P95" s="822"/>
      <c r="Q95" s="822"/>
      <c r="R95" s="823"/>
      <c r="T95" s="6">
        <f t="shared" si="37"/>
        <v>1</v>
      </c>
      <c r="U95" s="35">
        <v>1</v>
      </c>
      <c r="V95" s="2"/>
    </row>
    <row r="96" spans="1:22">
      <c r="B96" s="824" t="s">
        <v>23</v>
      </c>
      <c r="C96" s="15">
        <f>'DCF - Valuation'!R8</f>
        <v>0</v>
      </c>
      <c r="D96" s="804"/>
      <c r="E96" s="804"/>
      <c r="F96" s="804"/>
      <c r="G96" s="820"/>
      <c r="H96" s="820"/>
      <c r="I96" s="820"/>
      <c r="J96" s="820"/>
      <c r="K96" s="820"/>
      <c r="L96" s="820"/>
      <c r="M96" s="820"/>
      <c r="N96" s="820"/>
      <c r="O96" s="820"/>
      <c r="P96" s="822"/>
      <c r="Q96" s="822"/>
      <c r="R96" s="823"/>
      <c r="T96" s="6">
        <f t="shared" si="37"/>
        <v>1</v>
      </c>
      <c r="U96" s="35">
        <v>1</v>
      </c>
      <c r="V96" s="2"/>
    </row>
    <row r="97" spans="2:22">
      <c r="B97" s="825" t="s">
        <v>20</v>
      </c>
      <c r="C97" s="826">
        <f>'DCF - Valuation'!R9</f>
        <v>0</v>
      </c>
      <c r="D97" s="804"/>
      <c r="E97" s="804"/>
      <c r="F97" s="804"/>
      <c r="G97" s="820"/>
      <c r="H97" s="820"/>
      <c r="I97" s="820"/>
      <c r="J97" s="820"/>
      <c r="K97" s="820"/>
      <c r="L97" s="804" t="s">
        <v>21</v>
      </c>
      <c r="M97" s="820"/>
      <c r="N97" s="820"/>
      <c r="O97" s="827">
        <f>'DCF - Valuation'!C20</f>
        <v>43496</v>
      </c>
      <c r="P97" s="822"/>
      <c r="Q97" s="822"/>
      <c r="R97" s="823"/>
      <c r="T97" s="6">
        <f t="shared" si="37"/>
        <v>1</v>
      </c>
      <c r="U97" s="35">
        <v>1</v>
      </c>
      <c r="V97" s="2"/>
    </row>
    <row r="98" spans="2:22">
      <c r="B98" s="803" t="s">
        <v>18</v>
      </c>
      <c r="C98" s="15">
        <f>'DCF - Valuation'!R10</f>
        <v>0</v>
      </c>
      <c r="D98" s="804"/>
      <c r="E98" s="804"/>
      <c r="F98" s="804"/>
      <c r="G98" s="820"/>
      <c r="H98" s="820"/>
      <c r="I98" s="820"/>
      <c r="J98" s="820"/>
      <c r="K98" s="820"/>
      <c r="L98" s="828" t="s">
        <v>19</v>
      </c>
      <c r="M98" s="820"/>
      <c r="N98" s="820"/>
      <c r="O98" s="829">
        <f>'DCF - Valuation'!C8</f>
        <v>0</v>
      </c>
      <c r="P98" s="822"/>
      <c r="Q98" s="822"/>
      <c r="R98" s="823"/>
      <c r="T98" s="6">
        <f t="shared" si="37"/>
        <v>1</v>
      </c>
      <c r="U98" s="35">
        <v>1</v>
      </c>
      <c r="V98" s="2"/>
    </row>
    <row r="99" spans="2:22">
      <c r="B99" s="825" t="s">
        <v>16</v>
      </c>
      <c r="C99" s="826">
        <f>'DCF - Valuation'!R11</f>
        <v>0</v>
      </c>
      <c r="D99" s="804"/>
      <c r="E99" s="804"/>
      <c r="F99" s="820"/>
      <c r="G99" s="828" t="s">
        <v>22</v>
      </c>
      <c r="H99" s="828"/>
      <c r="I99" s="828"/>
      <c r="J99" s="830">
        <f>'DCF - Valuation'!C18</f>
        <v>0</v>
      </c>
      <c r="K99" s="820"/>
      <c r="L99" s="828" t="s">
        <v>17</v>
      </c>
      <c r="M99" s="820"/>
      <c r="N99" s="820"/>
      <c r="O99" s="829">
        <f>'DCF - Valuation'!C9</f>
        <v>0</v>
      </c>
      <c r="P99" s="822"/>
      <c r="Q99" s="822"/>
      <c r="R99" s="823"/>
      <c r="T99" s="6">
        <f t="shared" si="37"/>
        <v>1</v>
      </c>
      <c r="U99" s="35">
        <v>1</v>
      </c>
      <c r="V99" s="2"/>
    </row>
    <row r="100" spans="2:22">
      <c r="B100" s="824" t="s">
        <v>14</v>
      </c>
      <c r="C100" s="826">
        <f>'DCF - Valuation'!R13</f>
        <v>0</v>
      </c>
      <c r="D100" s="831"/>
      <c r="E100" s="804"/>
      <c r="F100" s="820"/>
      <c r="G100" s="832" t="s">
        <v>14</v>
      </c>
      <c r="H100" s="832"/>
      <c r="I100" s="832"/>
      <c r="J100" s="833">
        <f>'DCF - Valuation'!J10</f>
        <v>0</v>
      </c>
      <c r="K100" s="820"/>
      <c r="L100" s="828" t="s">
        <v>15</v>
      </c>
      <c r="M100" s="820"/>
      <c r="N100" s="820"/>
      <c r="O100" s="834">
        <f>'DCF - Valuation'!C10</f>
        <v>0</v>
      </c>
      <c r="P100" s="822"/>
      <c r="Q100" s="822"/>
      <c r="R100" s="823"/>
      <c r="T100" s="6">
        <f t="shared" si="37"/>
        <v>1</v>
      </c>
      <c r="U100" s="35">
        <v>1</v>
      </c>
      <c r="V100" s="2"/>
    </row>
    <row r="101" spans="2:22">
      <c r="B101" s="835" t="s">
        <v>12</v>
      </c>
      <c r="C101" s="836">
        <f>'DCF - Valuation'!R15</f>
        <v>0</v>
      </c>
      <c r="D101" s="804"/>
      <c r="E101" s="804"/>
      <c r="F101" s="820"/>
      <c r="G101" s="837" t="s">
        <v>12</v>
      </c>
      <c r="H101" s="837"/>
      <c r="I101" s="837"/>
      <c r="J101" s="838">
        <f>'DCF - Valuation'!J12</f>
        <v>0</v>
      </c>
      <c r="K101" s="820"/>
      <c r="L101" s="839" t="s">
        <v>13</v>
      </c>
      <c r="M101" s="839"/>
      <c r="N101" s="839"/>
      <c r="O101" s="840">
        <f>'DCF - Valuation'!C11</f>
        <v>0</v>
      </c>
      <c r="P101" s="822"/>
      <c r="Q101" s="822"/>
      <c r="R101" s="823"/>
      <c r="T101" s="6">
        <f t="shared" si="37"/>
        <v>1</v>
      </c>
      <c r="U101" s="35">
        <v>1</v>
      </c>
      <c r="V101" s="2"/>
    </row>
    <row r="102" spans="2:22">
      <c r="B102" s="841" t="s">
        <v>10</v>
      </c>
      <c r="C102" s="842">
        <f>'DCF - Valuation'!R17</f>
        <v>0</v>
      </c>
      <c r="D102" s="804"/>
      <c r="E102" s="804"/>
      <c r="F102" s="820"/>
      <c r="G102" s="843" t="s">
        <v>10</v>
      </c>
      <c r="H102" s="843"/>
      <c r="I102" s="843"/>
      <c r="J102" s="842">
        <f>'DCF - Valuation'!J14</f>
        <v>0</v>
      </c>
      <c r="K102" s="820"/>
      <c r="L102" s="844" t="s">
        <v>11</v>
      </c>
      <c r="M102" s="844"/>
      <c r="N102" s="844"/>
      <c r="O102" s="845">
        <f>'DCF - Valuation'!C12</f>
        <v>0</v>
      </c>
      <c r="P102" s="822"/>
      <c r="Q102" s="822"/>
      <c r="R102" s="823"/>
      <c r="T102" s="6">
        <f t="shared" si="37"/>
        <v>1</v>
      </c>
      <c r="U102" s="35">
        <v>1</v>
      </c>
      <c r="V102" s="2"/>
    </row>
    <row r="103" spans="2:22">
      <c r="B103" s="846" t="s">
        <v>8</v>
      </c>
      <c r="C103" s="838">
        <f>'DCF - Valuation'!R18</f>
        <v>0</v>
      </c>
      <c r="D103" s="831"/>
      <c r="E103" s="804"/>
      <c r="F103" s="820"/>
      <c r="G103" s="847" t="s">
        <v>8</v>
      </c>
      <c r="H103" s="847"/>
      <c r="I103" s="847"/>
      <c r="J103" s="838">
        <f>'DCF - Valuation'!J15</f>
        <v>0</v>
      </c>
      <c r="K103" s="820"/>
      <c r="L103" s="828" t="s">
        <v>9</v>
      </c>
      <c r="M103" s="820"/>
      <c r="N103" s="820"/>
      <c r="O103" s="829">
        <f>'DCF - Valuation'!C13</f>
        <v>0</v>
      </c>
      <c r="P103" s="822"/>
      <c r="Q103" s="822"/>
      <c r="R103" s="823"/>
      <c r="T103" s="6">
        <f t="shared" si="37"/>
        <v>1</v>
      </c>
      <c r="U103" s="35">
        <v>1</v>
      </c>
      <c r="V103" s="2"/>
    </row>
    <row r="104" spans="2:22">
      <c r="B104" s="846" t="s">
        <v>6</v>
      </c>
      <c r="C104" s="838">
        <f>'DCF - Valuation'!R19</f>
        <v>0</v>
      </c>
      <c r="D104" s="804"/>
      <c r="E104" s="804"/>
      <c r="F104" s="820"/>
      <c r="G104" s="847" t="s">
        <v>6</v>
      </c>
      <c r="H104" s="847"/>
      <c r="I104" s="847"/>
      <c r="J104" s="838">
        <f>'DCF - Valuation'!J16</f>
        <v>0</v>
      </c>
      <c r="K104" s="820"/>
      <c r="L104" s="839" t="s">
        <v>7</v>
      </c>
      <c r="M104" s="839"/>
      <c r="N104" s="839"/>
      <c r="O104" s="848">
        <f>'DCF - Valuation'!C14</f>
        <v>0</v>
      </c>
      <c r="P104" s="822"/>
      <c r="Q104" s="822"/>
      <c r="R104" s="823"/>
      <c r="T104" s="6">
        <f t="shared" si="37"/>
        <v>1</v>
      </c>
      <c r="U104" s="35">
        <v>1</v>
      </c>
      <c r="V104" s="2"/>
    </row>
    <row r="105" spans="2:22">
      <c r="B105" s="849" t="s">
        <v>4</v>
      </c>
      <c r="C105" s="850">
        <f>'DCF - Valuation'!R21</f>
        <v>0</v>
      </c>
      <c r="D105" s="851"/>
      <c r="E105" s="804"/>
      <c r="F105" s="820"/>
      <c r="G105" s="852" t="s">
        <v>4</v>
      </c>
      <c r="H105" s="852"/>
      <c r="I105" s="852"/>
      <c r="J105" s="850">
        <f>'DCF - Valuation'!J18</f>
        <v>0</v>
      </c>
      <c r="K105" s="820"/>
      <c r="L105" s="844" t="s">
        <v>5</v>
      </c>
      <c r="M105" s="844"/>
      <c r="N105" s="844"/>
      <c r="O105" s="853">
        <f>'DCF - Valuation'!C15</f>
        <v>0</v>
      </c>
      <c r="P105" s="822"/>
      <c r="Q105" s="822"/>
      <c r="R105" s="823"/>
      <c r="T105" s="6">
        <f t="shared" si="37"/>
        <v>1</v>
      </c>
      <c r="U105" s="35">
        <v>1</v>
      </c>
      <c r="V105" s="2"/>
    </row>
    <row r="106" spans="2:22">
      <c r="B106" s="803" t="s">
        <v>2</v>
      </c>
      <c r="C106" s="838">
        <f>'DCF - Valuation'!R22</f>
        <v>0</v>
      </c>
      <c r="D106" s="804"/>
      <c r="E106" s="804"/>
      <c r="F106" s="820"/>
      <c r="G106" s="804" t="s">
        <v>2</v>
      </c>
      <c r="H106" s="804"/>
      <c r="I106" s="804"/>
      <c r="J106" s="838">
        <f>'DCF - Valuation'!J19</f>
        <v>0</v>
      </c>
      <c r="K106" s="820"/>
      <c r="L106" s="828" t="s">
        <v>3</v>
      </c>
      <c r="M106" s="820"/>
      <c r="N106" s="820"/>
      <c r="O106" s="829">
        <f>'DCF - Valuation'!C16</f>
        <v>0</v>
      </c>
      <c r="P106" s="822"/>
      <c r="Q106" s="822"/>
      <c r="R106" s="823"/>
      <c r="T106" s="6">
        <f t="shared" si="37"/>
        <v>1</v>
      </c>
      <c r="U106" s="35">
        <v>1</v>
      </c>
      <c r="V106" s="2"/>
    </row>
    <row r="107" spans="2:22">
      <c r="B107" s="854" t="s">
        <v>0</v>
      </c>
      <c r="C107" s="855">
        <f>'DCF - Valuation'!R23</f>
        <v>0</v>
      </c>
      <c r="D107" s="856"/>
      <c r="E107" s="856"/>
      <c r="F107" s="856"/>
      <c r="G107" s="857" t="s">
        <v>0</v>
      </c>
      <c r="H107" s="857"/>
      <c r="I107" s="857"/>
      <c r="J107" s="855">
        <f>'DCF - Valuation'!J20</f>
        <v>0</v>
      </c>
      <c r="K107" s="856"/>
      <c r="L107" s="858" t="s">
        <v>1</v>
      </c>
      <c r="M107" s="858"/>
      <c r="N107" s="858"/>
      <c r="O107" s="859">
        <f>'DCF - Valuation'!C17</f>
        <v>0</v>
      </c>
      <c r="P107" s="860"/>
      <c r="Q107" s="860"/>
      <c r="R107" s="861"/>
      <c r="T107" s="6">
        <f t="shared" si="37"/>
        <v>1</v>
      </c>
      <c r="U107" s="35">
        <v>1</v>
      </c>
      <c r="V107" s="2"/>
    </row>
    <row r="108" spans="2:22"/>
    <row r="109" spans="2:22" hidden="1"/>
    <row r="110" spans="2:22" hidden="1"/>
    <row r="111" spans="2:22" hidden="1"/>
    <row r="112" spans="2:2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sheetData>
  <sheetProtection algorithmName="SHA-512" hashValue="CYHvfWnwWKibzvBXumsrn4OS/pbcjdzOqhtL4vzh1IjULDEfOaCVwuCY0lqJsEKGaEutkYYpn1OaAk66/DyKTA==" saltValue="/3uDvwEZIutWYdHpEaO0hg==" spinCount="100000" sheet="1" formatCells="0" formatColumns="0" formatRows="0" insertColumns="0" insertRows="0" insertHyperlinks="0" deleteColumns="0" deleteRows="0" sort="0" autoFilter="0" pivotTables="0"/>
  <conditionalFormatting sqref="D93:E93">
    <cfRule type="cellIs" dxfId="75" priority="4" stopIfTrue="1" operator="equal">
      <formula>$E$5</formula>
    </cfRule>
  </conditionalFormatting>
  <conditionalFormatting sqref="B100:C100 C101">
    <cfRule type="cellIs" dxfId="74" priority="3" stopIfTrue="1" operator="equal">
      <formula>"ERROR"</formula>
    </cfRule>
  </conditionalFormatting>
  <conditionalFormatting sqref="T1:U1">
    <cfRule type="cellIs" dxfId="73" priority="1" operator="equal">
      <formula>"Check"</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47748-E984-481C-95FA-FD88691E0A1F}">
  <sheetPr codeName="Sheet8">
    <tabColor rgb="FF86654A"/>
  </sheetPr>
  <dimension ref="A1:IX428"/>
  <sheetViews>
    <sheetView showGridLines="0" zoomScaleNormal="100" zoomScaleSheetLayoutView="55" workbookViewId="0">
      <pane xSplit="4" ySplit="7" topLeftCell="E8" activePane="bottomRight" state="frozen"/>
      <selection activeCell="F21" sqref="F21"/>
      <selection pane="topRight" activeCell="F21" sqref="F21"/>
      <selection pane="bottomLeft" activeCell="F21" sqref="F21"/>
      <selection pane="bottomRight" activeCell="B35" sqref="B35"/>
    </sheetView>
  </sheetViews>
  <sheetFormatPr defaultColWidth="0" defaultRowHeight="13.2" zeroHeight="1"/>
  <cols>
    <col min="1" max="1" width="2.6640625" style="24" customWidth="1"/>
    <col min="2" max="2" width="36.44140625" style="24" customWidth="1"/>
    <col min="3" max="3" width="5.109375" style="24" customWidth="1"/>
    <col min="4" max="4" width="8.44140625" style="24" customWidth="1"/>
    <col min="5" max="5" width="7.77734375" style="24" customWidth="1"/>
    <col min="6" max="18" width="6.77734375" style="24" customWidth="1"/>
    <col min="19" max="19" width="2.44140625" style="2" customWidth="1"/>
    <col min="20" max="21" width="4.44140625" style="2" customWidth="1"/>
    <col min="22" max="22" width="3.33203125" style="2" customWidth="1"/>
    <col min="23" max="98" width="5.44140625" style="2" hidden="1" customWidth="1"/>
    <col min="99" max="257" width="5.44140625" style="24" hidden="1" customWidth="1"/>
    <col min="258" max="258" width="0" style="24" hidden="1" customWidth="1"/>
    <col min="259" max="16384" width="9.44140625" style="24" hidden="1"/>
  </cols>
  <sheetData>
    <row r="1" spans="1:257" s="45" customFormat="1">
      <c r="A1" s="49" t="str">
        <f>'DCF - Assumptions'!$E$8&amp;" | Discounted Cash Flows - Assumptions"</f>
        <v>Tapestry | Discounted Cash Flows - Assumptions</v>
      </c>
      <c r="B1" s="48"/>
      <c r="C1" s="47"/>
      <c r="D1" s="47"/>
      <c r="E1" s="47"/>
      <c r="F1" s="47"/>
      <c r="G1" s="47"/>
      <c r="H1" s="47"/>
      <c r="I1" s="47"/>
      <c r="J1" s="47"/>
      <c r="K1" s="47"/>
      <c r="L1" s="47"/>
      <c r="M1" s="47"/>
      <c r="N1" s="47"/>
      <c r="O1" s="47"/>
      <c r="P1" s="47"/>
      <c r="Q1" s="47"/>
      <c r="R1" s="47"/>
      <c r="T1" s="46" t="str">
        <f>IF(T5=U5,"OK","Check")</f>
        <v>OK</v>
      </c>
      <c r="U1" s="46" t="str">
        <f>IF(T6=U6,"OK","Check")</f>
        <v>OK</v>
      </c>
    </row>
    <row r="2" spans="1:257" s="43" customFormat="1" ht="1.95" customHeight="1">
      <c r="A2" s="44"/>
      <c r="S2" s="42"/>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row>
    <row r="3" spans="1:257" s="176" customFormat="1" ht="3" customHeight="1">
      <c r="A3" s="40"/>
      <c r="B3" s="39"/>
      <c r="C3" s="39"/>
      <c r="D3" s="39"/>
      <c r="E3" s="39"/>
      <c r="F3" s="39"/>
      <c r="G3" s="39"/>
      <c r="H3" s="39"/>
      <c r="I3" s="39"/>
      <c r="J3" s="39"/>
      <c r="K3" s="39"/>
      <c r="L3" s="39"/>
      <c r="M3" s="39"/>
      <c r="N3" s="39"/>
      <c r="O3" s="39"/>
      <c r="P3" s="39"/>
      <c r="Q3" s="39"/>
      <c r="R3" s="39"/>
      <c r="S3" s="38"/>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row>
    <row r="4" spans="1:257" s="58" customFormat="1" ht="10.95" customHeight="1">
      <c r="A4" s="279"/>
      <c r="B4" s="62"/>
      <c r="C4" s="62"/>
      <c r="D4" s="62"/>
      <c r="E4" s="62"/>
      <c r="F4" s="62"/>
      <c r="G4" s="62"/>
      <c r="H4" s="62"/>
      <c r="I4" s="62"/>
      <c r="J4" s="62"/>
      <c r="K4" s="62"/>
      <c r="L4" s="62"/>
      <c r="M4" s="62"/>
      <c r="N4" s="62"/>
      <c r="O4" s="62"/>
      <c r="P4" s="62"/>
      <c r="Q4" s="62"/>
      <c r="R4" s="62"/>
      <c r="S4" s="278"/>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row>
    <row r="5" spans="1:257" s="4" customFormat="1">
      <c r="B5" s="730" t="s">
        <v>175</v>
      </c>
      <c r="C5" s="731"/>
      <c r="D5" s="731"/>
      <c r="E5" s="731"/>
      <c r="F5" s="732"/>
      <c r="G5" s="732"/>
      <c r="H5" s="732"/>
      <c r="I5" s="732"/>
      <c r="J5" s="732"/>
      <c r="K5" s="732"/>
      <c r="L5" s="732"/>
      <c r="M5" s="732"/>
      <c r="N5" s="732"/>
      <c r="O5" s="732"/>
      <c r="P5" s="732"/>
      <c r="Q5" s="732"/>
      <c r="R5" s="732"/>
      <c r="S5" s="7"/>
      <c r="T5" s="188">
        <f>ROWS(B5:B98)</f>
        <v>94</v>
      </c>
      <c r="U5" s="35">
        <v>94</v>
      </c>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row>
    <row r="6" spans="1:257" s="2" customFormat="1" ht="13.05" customHeight="1">
      <c r="A6" s="24"/>
      <c r="B6" s="24"/>
      <c r="C6" s="24"/>
      <c r="D6" s="24"/>
      <c r="E6" s="24"/>
      <c r="F6" s="277"/>
      <c r="G6" s="277"/>
      <c r="H6" s="277"/>
      <c r="I6" s="277"/>
      <c r="J6" s="277"/>
      <c r="K6" s="276" t="s">
        <v>174</v>
      </c>
      <c r="L6" s="275"/>
      <c r="M6" s="275"/>
      <c r="N6" s="275"/>
      <c r="O6" s="275"/>
      <c r="P6" s="275"/>
      <c r="Q6" s="275"/>
      <c r="R6" s="275"/>
      <c r="T6" s="188">
        <f>SUM(T8:T98)</f>
        <v>80</v>
      </c>
      <c r="U6" s="35">
        <v>80</v>
      </c>
    </row>
    <row r="7" spans="1:257" s="2" customFormat="1" ht="13.05" customHeight="1" thickBot="1">
      <c r="A7" s="4"/>
      <c r="B7" s="94"/>
      <c r="C7" s="274" t="s">
        <v>173</v>
      </c>
      <c r="D7" s="274" t="s">
        <v>172</v>
      </c>
      <c r="E7" s="94"/>
      <c r="F7" s="274">
        <f>E23</f>
        <v>2014</v>
      </c>
      <c r="G7" s="174">
        <f>IF((F7+1)&lt;='DCF - Assumptions'!$E$24,F7+1," ")</f>
        <v>2015</v>
      </c>
      <c r="H7" s="174">
        <f>IF((G7+1)&lt;='DCF - Assumptions'!$E$24,G7+1," ")</f>
        <v>2016</v>
      </c>
      <c r="I7" s="174">
        <f>IF((H7+1)&lt;='DCF - Assumptions'!$E$24,H7+1," ")</f>
        <v>2017</v>
      </c>
      <c r="J7" s="174">
        <f>IF((I7+1)&lt;='DCF - Assumptions'!$E$24,I7+1," ")</f>
        <v>2018</v>
      </c>
      <c r="K7" s="174">
        <f>IF((J7+1)&lt;='DCF - Assumptions'!$E$24,J7+1," ")</f>
        <v>2019</v>
      </c>
      <c r="L7" s="174">
        <f>IF((K7+1)&lt;='DCF - Assumptions'!$E$24,K7+1," ")</f>
        <v>2020</v>
      </c>
      <c r="M7" s="174">
        <f>IF((L7+1)&lt;='DCF - Assumptions'!$E$24,L7+1," ")</f>
        <v>2021</v>
      </c>
      <c r="N7" s="174">
        <f>IF((M7+1)&lt;='DCF - Assumptions'!$E$24,M7+1," ")</f>
        <v>2022</v>
      </c>
      <c r="O7" s="174">
        <f>IF((N7+1)&lt;='DCF - Assumptions'!$E$24,N7+1," ")</f>
        <v>2023</v>
      </c>
      <c r="P7" s="174">
        <f>IF((O7+1)&lt;='DCF - Assumptions'!$E$24,O7+1," ")</f>
        <v>2024</v>
      </c>
      <c r="Q7" s="174">
        <f>IF((P7+1)&lt;='DCF - Assumptions'!$E$24,P7+1," ")</f>
        <v>2025</v>
      </c>
      <c r="R7" s="174">
        <f>IF((Q7+1)&lt;='DCF - Assumptions'!$E$24,Q7+1," ")</f>
        <v>2026</v>
      </c>
      <c r="S7" s="52"/>
      <c r="T7" s="179"/>
      <c r="U7" s="455"/>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52"/>
      <c r="FE7" s="52"/>
      <c r="FF7" s="52"/>
      <c r="FG7" s="52"/>
      <c r="FH7" s="52"/>
      <c r="FI7" s="52"/>
      <c r="FJ7" s="52"/>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c r="GN7" s="52"/>
      <c r="GO7" s="52"/>
      <c r="GP7" s="52"/>
      <c r="GQ7" s="52"/>
      <c r="GR7" s="52"/>
      <c r="GS7" s="52"/>
      <c r="GT7" s="52"/>
      <c r="GU7" s="52"/>
      <c r="GV7" s="52"/>
      <c r="GW7" s="52"/>
      <c r="GX7" s="52"/>
      <c r="GY7" s="52"/>
      <c r="GZ7" s="52"/>
      <c r="HA7" s="52"/>
      <c r="HB7" s="52"/>
      <c r="HC7" s="52"/>
      <c r="HD7" s="52"/>
      <c r="HE7" s="52"/>
      <c r="HF7" s="52"/>
      <c r="HG7" s="52"/>
      <c r="HH7" s="52"/>
      <c r="HI7" s="52"/>
      <c r="HJ7" s="52"/>
      <c r="HK7" s="52"/>
      <c r="HL7" s="52"/>
      <c r="HM7" s="52"/>
      <c r="HN7" s="52"/>
      <c r="HO7" s="52"/>
      <c r="HP7" s="52"/>
      <c r="HQ7" s="52"/>
      <c r="HR7" s="52"/>
      <c r="HS7" s="52"/>
      <c r="HT7" s="52"/>
      <c r="HU7" s="52"/>
      <c r="HV7" s="52"/>
      <c r="HW7" s="52"/>
      <c r="HX7" s="52"/>
      <c r="HY7" s="52"/>
      <c r="HZ7" s="52"/>
      <c r="IA7" s="52"/>
      <c r="IB7" s="52"/>
      <c r="IC7" s="52"/>
      <c r="ID7" s="52"/>
      <c r="IE7" s="52"/>
      <c r="IF7" s="52"/>
      <c r="IG7" s="52"/>
      <c r="IH7" s="52"/>
      <c r="II7" s="52"/>
      <c r="IJ7" s="52"/>
      <c r="IK7" s="52"/>
      <c r="IL7" s="52"/>
      <c r="IM7" s="52"/>
      <c r="IN7" s="52"/>
      <c r="IO7" s="52"/>
      <c r="IP7" s="52"/>
      <c r="IQ7" s="52"/>
      <c r="IR7" s="52"/>
      <c r="IS7" s="52"/>
      <c r="IT7" s="52"/>
      <c r="IU7" s="52"/>
      <c r="IV7" s="52"/>
      <c r="IW7" s="52"/>
    </row>
    <row r="8" spans="1:257" s="2" customFormat="1" ht="13.05" customHeight="1">
      <c r="A8" s="4"/>
      <c r="B8" s="4" t="s">
        <v>344</v>
      </c>
      <c r="C8" s="24" t="s">
        <v>345</v>
      </c>
      <c r="D8" s="24" t="s">
        <v>123</v>
      </c>
      <c r="E8" s="4" t="s">
        <v>346</v>
      </c>
      <c r="F8" s="34"/>
      <c r="G8" s="52"/>
      <c r="H8" s="52"/>
      <c r="I8" s="52"/>
      <c r="J8" s="52"/>
      <c r="K8" s="52"/>
      <c r="L8" s="52"/>
      <c r="M8" s="52"/>
      <c r="N8" s="52"/>
      <c r="O8" s="52"/>
      <c r="P8" s="52"/>
      <c r="Q8" s="52"/>
      <c r="R8" s="52"/>
      <c r="S8" s="52"/>
      <c r="T8" s="188">
        <f t="shared" ref="T8:T71" si="0">IF(NOT(ISBLANK(B8)), 1, 0)</f>
        <v>1</v>
      </c>
      <c r="U8" s="35">
        <v>1</v>
      </c>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c r="EK8" s="52"/>
      <c r="EL8" s="52"/>
      <c r="EM8" s="52"/>
      <c r="EN8" s="52"/>
      <c r="EO8" s="52"/>
      <c r="EP8" s="52"/>
      <c r="EQ8" s="52"/>
      <c r="ER8" s="52"/>
      <c r="ES8" s="52"/>
      <c r="ET8" s="52"/>
      <c r="EU8" s="52"/>
      <c r="EV8" s="52"/>
      <c r="EW8" s="52"/>
      <c r="EX8" s="52"/>
      <c r="EY8" s="52"/>
      <c r="EZ8" s="52"/>
      <c r="FA8" s="52"/>
      <c r="FB8" s="52"/>
      <c r="FC8" s="52"/>
      <c r="FD8" s="52"/>
      <c r="FE8" s="52"/>
      <c r="FF8" s="52"/>
      <c r="FG8" s="52"/>
      <c r="FH8" s="52"/>
      <c r="FI8" s="52"/>
      <c r="FJ8" s="52"/>
      <c r="FK8" s="52"/>
      <c r="FL8" s="52"/>
      <c r="FM8" s="52"/>
      <c r="FN8" s="52"/>
      <c r="FO8" s="52"/>
      <c r="FP8" s="52"/>
      <c r="FQ8" s="52"/>
      <c r="FR8" s="52"/>
      <c r="FS8" s="52"/>
      <c r="FT8" s="52"/>
      <c r="FU8" s="52"/>
      <c r="FV8" s="52"/>
      <c r="FW8" s="52"/>
      <c r="FX8" s="52"/>
      <c r="FY8" s="52"/>
      <c r="FZ8" s="52"/>
      <c r="GA8" s="52"/>
      <c r="GB8" s="52"/>
      <c r="GC8" s="52"/>
      <c r="GD8" s="52"/>
      <c r="GE8" s="52"/>
      <c r="GF8" s="52"/>
      <c r="GG8" s="52"/>
      <c r="GH8" s="52"/>
      <c r="GI8" s="52"/>
      <c r="GJ8" s="52"/>
      <c r="GK8" s="52"/>
      <c r="GL8" s="52"/>
      <c r="GM8" s="52"/>
      <c r="GN8" s="52"/>
      <c r="GO8" s="52"/>
      <c r="GP8" s="52"/>
      <c r="GQ8" s="52"/>
      <c r="GR8" s="52"/>
      <c r="GS8" s="52"/>
      <c r="GT8" s="52"/>
      <c r="GU8" s="52"/>
      <c r="GV8" s="52"/>
      <c r="GW8" s="52"/>
      <c r="GX8" s="52"/>
      <c r="GY8" s="52"/>
      <c r="GZ8" s="52"/>
      <c r="HA8" s="52"/>
      <c r="HB8" s="52"/>
      <c r="HC8" s="52"/>
      <c r="HD8" s="52"/>
      <c r="HE8" s="52"/>
      <c r="HF8" s="52"/>
      <c r="HG8" s="52"/>
      <c r="HH8" s="52"/>
      <c r="HI8" s="52"/>
      <c r="HJ8" s="52"/>
      <c r="HK8" s="52"/>
      <c r="HL8" s="52"/>
      <c r="HM8" s="52"/>
      <c r="HN8" s="52"/>
      <c r="HO8" s="52"/>
      <c r="HP8" s="52"/>
      <c r="HQ8" s="52"/>
      <c r="HR8" s="52"/>
      <c r="HS8" s="52"/>
      <c r="HT8" s="52"/>
      <c r="HU8" s="52"/>
      <c r="HV8" s="52"/>
      <c r="HW8" s="52"/>
      <c r="HX8" s="52"/>
      <c r="HY8" s="52"/>
      <c r="HZ8" s="52"/>
      <c r="IA8" s="52"/>
      <c r="IB8" s="52"/>
      <c r="IC8" s="52"/>
      <c r="ID8" s="52"/>
      <c r="IE8" s="52"/>
      <c r="IF8" s="52"/>
      <c r="IG8" s="52"/>
      <c r="IH8" s="52"/>
      <c r="II8" s="52"/>
      <c r="IJ8" s="52"/>
      <c r="IK8" s="52"/>
      <c r="IL8" s="52"/>
      <c r="IM8" s="52"/>
      <c r="IN8" s="52"/>
      <c r="IO8" s="52"/>
      <c r="IP8" s="52"/>
      <c r="IQ8" s="52"/>
      <c r="IR8" s="52"/>
      <c r="IS8" s="52"/>
      <c r="IT8" s="52"/>
      <c r="IU8" s="52"/>
      <c r="IV8" s="52"/>
      <c r="IW8" s="52"/>
    </row>
    <row r="9" spans="1:257" ht="13.05" customHeight="1">
      <c r="A9" s="62"/>
      <c r="B9" s="202" t="s">
        <v>171</v>
      </c>
      <c r="C9" s="24" t="s">
        <v>158</v>
      </c>
      <c r="D9" s="24" t="s">
        <v>123</v>
      </c>
      <c r="E9" s="273">
        <v>43496</v>
      </c>
      <c r="T9" s="188">
        <f t="shared" si="0"/>
        <v>1</v>
      </c>
      <c r="U9" s="35">
        <v>1</v>
      </c>
    </row>
    <row r="10" spans="1:257" ht="13.05" customHeight="1">
      <c r="A10" s="62"/>
      <c r="B10" s="202" t="s">
        <v>170</v>
      </c>
      <c r="C10" s="24" t="s">
        <v>163</v>
      </c>
      <c r="D10" s="24" t="s">
        <v>123</v>
      </c>
      <c r="E10" s="271">
        <v>1</v>
      </c>
      <c r="T10" s="188">
        <f t="shared" si="0"/>
        <v>1</v>
      </c>
      <c r="U10" s="35">
        <v>1</v>
      </c>
    </row>
    <row r="11" spans="1:257" ht="13.05" customHeight="1">
      <c r="A11" s="62"/>
      <c r="B11" s="202" t="s">
        <v>169</v>
      </c>
      <c r="C11" s="24" t="s">
        <v>163</v>
      </c>
      <c r="D11" s="24" t="s">
        <v>128</v>
      </c>
      <c r="E11" s="272">
        <f>12/E10</f>
        <v>12</v>
      </c>
      <c r="T11" s="188">
        <f t="shared" si="0"/>
        <v>1</v>
      </c>
      <c r="U11" s="35">
        <v>1</v>
      </c>
    </row>
    <row r="12" spans="1:257" ht="13.05" customHeight="1">
      <c r="A12" s="62"/>
      <c r="B12" s="202" t="s">
        <v>168</v>
      </c>
      <c r="C12" s="24" t="s">
        <v>163</v>
      </c>
      <c r="D12" s="24" t="s">
        <v>128</v>
      </c>
      <c r="E12" s="272">
        <f>365/E10</f>
        <v>365</v>
      </c>
      <c r="T12" s="188">
        <f t="shared" si="0"/>
        <v>1</v>
      </c>
      <c r="U12" s="35">
        <v>1</v>
      </c>
    </row>
    <row r="13" spans="1:257" ht="13.05" customHeight="1">
      <c r="A13" s="62"/>
      <c r="B13" s="202" t="s">
        <v>167</v>
      </c>
      <c r="C13" s="24" t="s">
        <v>163</v>
      </c>
      <c r="D13" s="24" t="s">
        <v>123</v>
      </c>
      <c r="E13" s="271">
        <v>5</v>
      </c>
      <c r="T13" s="188">
        <f t="shared" si="0"/>
        <v>1</v>
      </c>
      <c r="U13" s="35">
        <v>1</v>
      </c>
    </row>
    <row r="14" spans="1:257" ht="13.05" customHeight="1">
      <c r="A14" s="62"/>
      <c r="B14" s="202" t="s">
        <v>166</v>
      </c>
      <c r="C14" s="24" t="s">
        <v>163</v>
      </c>
      <c r="D14" s="24" t="s">
        <v>123</v>
      </c>
      <c r="E14" s="271">
        <v>8</v>
      </c>
      <c r="T14" s="188">
        <f t="shared" si="0"/>
        <v>1</v>
      </c>
      <c r="U14" s="35">
        <v>1</v>
      </c>
    </row>
    <row r="15" spans="1:257" ht="13.05" customHeight="1">
      <c r="A15" s="62"/>
      <c r="B15" s="202" t="s">
        <v>165</v>
      </c>
      <c r="C15" s="24" t="s">
        <v>163</v>
      </c>
      <c r="D15" s="24" t="s">
        <v>123</v>
      </c>
      <c r="E15" s="271">
        <v>12</v>
      </c>
      <c r="T15" s="188">
        <f t="shared" si="0"/>
        <v>1</v>
      </c>
      <c r="U15" s="35">
        <v>1</v>
      </c>
    </row>
    <row r="16" spans="1:257" ht="13.05" customHeight="1">
      <c r="B16" s="202" t="s">
        <v>164</v>
      </c>
      <c r="C16" s="24" t="s">
        <v>163</v>
      </c>
      <c r="D16" s="24" t="s">
        <v>123</v>
      </c>
      <c r="E16" s="271">
        <v>1000</v>
      </c>
      <c r="T16" s="188">
        <f t="shared" si="0"/>
        <v>1</v>
      </c>
      <c r="U16" s="35">
        <v>1</v>
      </c>
    </row>
    <row r="17" spans="1:98" ht="13.05" customHeight="1">
      <c r="A17" s="62"/>
      <c r="B17" s="208" t="s">
        <v>162</v>
      </c>
      <c r="C17" s="43" t="s">
        <v>158</v>
      </c>
      <c r="D17" s="43" t="s">
        <v>123</v>
      </c>
      <c r="E17" s="270">
        <v>43281</v>
      </c>
      <c r="T17" s="188">
        <f t="shared" si="0"/>
        <v>1</v>
      </c>
      <c r="U17" s="35">
        <v>1</v>
      </c>
    </row>
    <row r="18" spans="1:98" ht="13.05" customHeight="1">
      <c r="A18" s="62"/>
      <c r="B18" s="202" t="s">
        <v>161</v>
      </c>
      <c r="C18" s="24" t="s">
        <v>158</v>
      </c>
      <c r="D18" s="24" t="s">
        <v>128</v>
      </c>
      <c r="E18" s="269">
        <f>EOMONTH(E17, 1*E11)</f>
        <v>43646</v>
      </c>
      <c r="G18" s="58"/>
      <c r="T18" s="188">
        <f t="shared" si="0"/>
        <v>1</v>
      </c>
      <c r="U18" s="35">
        <v>1</v>
      </c>
    </row>
    <row r="19" spans="1:98" ht="13.05" customHeight="1">
      <c r="A19" s="62"/>
      <c r="B19" s="202" t="s">
        <v>160</v>
      </c>
      <c r="C19" s="24" t="s">
        <v>158</v>
      </c>
      <c r="D19" s="24" t="s">
        <v>128</v>
      </c>
      <c r="E19" s="269">
        <f>EOMONTH(E17,-(E13-1)*E11)</f>
        <v>41820</v>
      </c>
      <c r="T19" s="188">
        <f t="shared" si="0"/>
        <v>1</v>
      </c>
      <c r="U19" s="35">
        <v>1</v>
      </c>
    </row>
    <row r="20" spans="1:98" ht="13.05" customHeight="1">
      <c r="A20" s="62"/>
      <c r="B20" s="202" t="s">
        <v>159</v>
      </c>
      <c r="C20" s="24" t="s">
        <v>158</v>
      </c>
      <c r="D20" s="24" t="s">
        <v>128</v>
      </c>
      <c r="E20" s="269">
        <f>EOMONTH(E17,E14*E11)</f>
        <v>46203</v>
      </c>
      <c r="T20" s="188">
        <f t="shared" si="0"/>
        <v>1</v>
      </c>
      <c r="U20" s="35">
        <v>1</v>
      </c>
    </row>
    <row r="21" spans="1:98" ht="13.05" customHeight="1">
      <c r="A21" s="62"/>
      <c r="B21" s="208" t="s">
        <v>157</v>
      </c>
      <c r="C21" s="43" t="s">
        <v>153</v>
      </c>
      <c r="D21" s="43" t="s">
        <v>128</v>
      </c>
      <c r="E21" s="268">
        <f>YEAR(E17)</f>
        <v>2018</v>
      </c>
      <c r="T21" s="188">
        <f t="shared" si="0"/>
        <v>1</v>
      </c>
      <c r="U21" s="35">
        <v>1</v>
      </c>
    </row>
    <row r="22" spans="1:98" ht="13.05" customHeight="1">
      <c r="A22" s="62"/>
      <c r="B22" s="202" t="s">
        <v>156</v>
      </c>
      <c r="C22" s="24" t="s">
        <v>153</v>
      </c>
      <c r="D22" s="24" t="s">
        <v>128</v>
      </c>
      <c r="E22" s="267">
        <f>YEAR(E18)</f>
        <v>2019</v>
      </c>
      <c r="T22" s="188">
        <f t="shared" si="0"/>
        <v>1</v>
      </c>
      <c r="U22" s="35">
        <v>1</v>
      </c>
    </row>
    <row r="23" spans="1:98" ht="13.05" customHeight="1">
      <c r="A23" s="62"/>
      <c r="B23" s="202" t="s">
        <v>155</v>
      </c>
      <c r="C23" s="24" t="s">
        <v>153</v>
      </c>
      <c r="D23" s="24" t="s">
        <v>128</v>
      </c>
      <c r="E23" s="267">
        <f>YEAR(E19)</f>
        <v>2014</v>
      </c>
      <c r="T23" s="188">
        <f t="shared" si="0"/>
        <v>1</v>
      </c>
      <c r="U23" s="35">
        <v>1</v>
      </c>
    </row>
    <row r="24" spans="1:98" ht="13.05" customHeight="1">
      <c r="A24" s="62"/>
      <c r="B24" s="202" t="s">
        <v>154</v>
      </c>
      <c r="C24" s="24" t="s">
        <v>153</v>
      </c>
      <c r="D24" s="24" t="s">
        <v>128</v>
      </c>
      <c r="E24" s="267">
        <f>YEAR(E20)</f>
        <v>2026</v>
      </c>
      <c r="T24" s="188">
        <f t="shared" si="0"/>
        <v>1</v>
      </c>
      <c r="U24" s="35">
        <v>1</v>
      </c>
    </row>
    <row r="25" spans="1:98" s="4" customFormat="1" ht="15.6">
      <c r="A25" s="266"/>
      <c r="B25" s="96"/>
      <c r="C25" s="96"/>
      <c r="D25" s="96"/>
      <c r="E25" s="96"/>
      <c r="F25" s="96"/>
      <c r="G25" s="96"/>
      <c r="H25" s="153"/>
      <c r="I25" s="96"/>
      <c r="J25" s="96"/>
      <c r="K25" s="96"/>
      <c r="L25" s="96"/>
      <c r="M25" s="96"/>
      <c r="N25" s="96"/>
      <c r="O25" s="96"/>
      <c r="P25" s="96"/>
      <c r="Q25" s="96"/>
      <c r="R25" s="96"/>
      <c r="S25"/>
      <c r="T25" s="188">
        <f t="shared" si="0"/>
        <v>0</v>
      </c>
      <c r="U25" s="35">
        <v>0</v>
      </c>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row>
    <row r="26" spans="1:98" s="2" customFormat="1" ht="14.4">
      <c r="A26" s="24"/>
      <c r="B26" s="730" t="s">
        <v>152</v>
      </c>
      <c r="C26" s="731"/>
      <c r="D26" s="731"/>
      <c r="E26" s="731"/>
      <c r="F26" s="732"/>
      <c r="G26" s="732"/>
      <c r="H26" s="732"/>
      <c r="I26" s="732"/>
      <c r="J26" s="732"/>
      <c r="K26" s="732"/>
      <c r="L26" s="732"/>
      <c r="M26" s="732"/>
      <c r="N26" s="732"/>
      <c r="O26" s="732"/>
      <c r="P26" s="732"/>
      <c r="Q26" s="732"/>
      <c r="R26" s="732"/>
      <c r="S26"/>
      <c r="T26" s="188">
        <f t="shared" si="0"/>
        <v>1</v>
      </c>
      <c r="U26" s="35">
        <v>1</v>
      </c>
    </row>
    <row r="27" spans="1:98" s="4" customFormat="1" ht="13.05" customHeight="1" thickBot="1">
      <c r="A27" s="24"/>
      <c r="B27" s="219" t="s">
        <v>333</v>
      </c>
      <c r="C27" s="94"/>
      <c r="D27" s="94"/>
      <c r="E27" s="94"/>
      <c r="F27" s="203"/>
      <c r="G27" s="203"/>
      <c r="H27" s="203"/>
      <c r="I27" s="203"/>
      <c r="J27" s="203"/>
      <c r="K27" s="203"/>
      <c r="L27" s="203"/>
      <c r="M27" s="203"/>
      <c r="N27" s="203"/>
      <c r="O27" s="203"/>
      <c r="P27" s="203"/>
      <c r="Q27" s="203"/>
      <c r="R27" s="203"/>
      <c r="S27"/>
      <c r="T27" s="188">
        <f t="shared" si="0"/>
        <v>1</v>
      </c>
      <c r="U27" s="35">
        <v>1</v>
      </c>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row>
    <row r="28" spans="1:98" s="2" customFormat="1" ht="13.05" customHeight="1">
      <c r="A28" s="62"/>
      <c r="B28" s="208" t="s">
        <v>333</v>
      </c>
      <c r="C28" s="43" t="s">
        <v>129</v>
      </c>
      <c r="D28" s="43" t="s">
        <v>128</v>
      </c>
      <c r="E28" s="43"/>
      <c r="F28" s="156">
        <f>'DCF - Financials'!F9</f>
        <v>4806.2259999999997</v>
      </c>
      <c r="G28" s="156">
        <f>'DCF - Financials'!G9</f>
        <v>4191.6000000000004</v>
      </c>
      <c r="H28" s="156">
        <f>'DCF - Financials'!H9</f>
        <v>4147.1000000000004</v>
      </c>
      <c r="I28" s="156">
        <f>'DCF - Financials'!I9</f>
        <v>4114.7</v>
      </c>
      <c r="J28" s="156">
        <f>'DCF - Financials'!J9</f>
        <v>4221.5</v>
      </c>
      <c r="K28" s="262"/>
      <c r="L28" s="262"/>
      <c r="M28" s="262"/>
      <c r="N28" s="262"/>
      <c r="O28" s="262"/>
      <c r="P28" s="262"/>
      <c r="Q28" s="262"/>
      <c r="R28" s="262"/>
      <c r="S28"/>
      <c r="T28" s="188">
        <f t="shared" si="0"/>
        <v>1</v>
      </c>
      <c r="U28" s="35">
        <v>1</v>
      </c>
      <c r="V28" s="258"/>
    </row>
    <row r="29" spans="1:98" s="2" customFormat="1" ht="13.05" customHeight="1">
      <c r="A29" s="62"/>
      <c r="B29" s="249" t="s">
        <v>149</v>
      </c>
      <c r="C29" s="4" t="s">
        <v>125</v>
      </c>
      <c r="D29" s="4" t="s">
        <v>123</v>
      </c>
      <c r="E29" s="4"/>
      <c r="F29" s="265">
        <v>0</v>
      </c>
      <c r="G29" s="265">
        <f>IFERROR(G28/F28-1,"-")</f>
        <v>-0.12788121074622782</v>
      </c>
      <c r="H29" s="216">
        <f>IFERROR(H28/G28-1,"-")</f>
        <v>-1.0616471037312669E-2</v>
      </c>
      <c r="I29" s="216">
        <f>IFERROR(I28/H28-1,"-")</f>
        <v>-7.8126883846544315E-3</v>
      </c>
      <c r="J29" s="216">
        <f>IFERROR(J28/I28-1,"-")</f>
        <v>2.5955719736554306E-2</v>
      </c>
      <c r="K29" s="200"/>
      <c r="L29" s="200"/>
      <c r="M29" s="200"/>
      <c r="N29" s="200"/>
      <c r="O29" s="200"/>
      <c r="P29" s="200"/>
      <c r="Q29" s="200"/>
      <c r="R29" s="200"/>
      <c r="S29"/>
      <c r="T29" s="188">
        <f t="shared" si="0"/>
        <v>1</v>
      </c>
      <c r="U29" s="35">
        <v>1</v>
      </c>
      <c r="V29" s="258"/>
    </row>
    <row r="30" spans="1:98" s="2" customFormat="1" ht="13.05" customHeight="1">
      <c r="A30" s="62"/>
      <c r="B30" s="260" t="s">
        <v>151</v>
      </c>
      <c r="C30" s="24" t="s">
        <v>125</v>
      </c>
      <c r="D30" s="24" t="s">
        <v>128</v>
      </c>
      <c r="E30" s="24"/>
      <c r="F30" s="248">
        <f t="shared" ref="F30:J30" si="1">F28/F$43</f>
        <v>1</v>
      </c>
      <c r="G30" s="248">
        <f t="shared" si="1"/>
        <v>1</v>
      </c>
      <c r="H30" s="248">
        <f t="shared" si="1"/>
        <v>0.92326016296362268</v>
      </c>
      <c r="I30" s="248">
        <f t="shared" si="1"/>
        <v>0.91676135730677533</v>
      </c>
      <c r="J30" s="248">
        <f t="shared" si="1"/>
        <v>0.71794217687074835</v>
      </c>
      <c r="K30" s="259"/>
      <c r="L30" s="259"/>
      <c r="M30" s="259"/>
      <c r="N30" s="259"/>
      <c r="O30" s="259"/>
      <c r="P30" s="259"/>
      <c r="Q30" s="259"/>
      <c r="R30" s="259"/>
      <c r="S30"/>
      <c r="T30" s="188">
        <f t="shared" si="0"/>
        <v>1</v>
      </c>
      <c r="U30" s="35">
        <v>1</v>
      </c>
      <c r="V30" s="258"/>
    </row>
    <row r="31" spans="1:98" s="2" customFormat="1" ht="13.05" customHeight="1">
      <c r="A31" s="62"/>
      <c r="B31" s="260"/>
      <c r="C31" s="24"/>
      <c r="D31" s="24"/>
      <c r="E31" s="24"/>
      <c r="F31" s="248"/>
      <c r="G31" s="248"/>
      <c r="H31" s="248"/>
      <c r="I31" s="248"/>
      <c r="J31" s="247"/>
      <c r="K31" s="247"/>
      <c r="L31" s="247"/>
      <c r="M31" s="247"/>
      <c r="N31" s="247"/>
      <c r="O31" s="247"/>
      <c r="P31" s="247"/>
      <c r="Q31" s="247"/>
      <c r="R31" s="247"/>
      <c r="S31"/>
      <c r="T31" s="188">
        <f t="shared" si="0"/>
        <v>0</v>
      </c>
      <c r="U31" s="35">
        <v>0</v>
      </c>
      <c r="V31" s="258"/>
    </row>
    <row r="32" spans="1:98" s="2" customFormat="1" ht="13.05" customHeight="1" thickBot="1">
      <c r="A32" s="62"/>
      <c r="B32" s="219" t="s">
        <v>334</v>
      </c>
      <c r="C32" s="94"/>
      <c r="D32" s="94"/>
      <c r="E32" s="94"/>
      <c r="F32" s="263"/>
      <c r="G32" s="263"/>
      <c r="H32" s="264"/>
      <c r="I32" s="264"/>
      <c r="J32" s="264"/>
      <c r="K32" s="264"/>
      <c r="L32" s="264"/>
      <c r="M32" s="264"/>
      <c r="N32" s="264"/>
      <c r="O32" s="264"/>
      <c r="P32" s="264"/>
      <c r="Q32" s="264"/>
      <c r="R32" s="264"/>
      <c r="S32"/>
      <c r="T32" s="188">
        <f t="shared" si="0"/>
        <v>1</v>
      </c>
      <c r="U32" s="35">
        <v>1</v>
      </c>
      <c r="V32" s="258"/>
    </row>
    <row r="33" spans="1:98" s="2" customFormat="1" ht="13.05" customHeight="1">
      <c r="A33" s="62"/>
      <c r="B33" s="208" t="s">
        <v>334</v>
      </c>
      <c r="C33" s="43" t="s">
        <v>129</v>
      </c>
      <c r="D33" s="43" t="s">
        <v>128</v>
      </c>
      <c r="E33" s="240"/>
      <c r="F33" s="156">
        <f>'DCF - Financials'!F10</f>
        <v>0</v>
      </c>
      <c r="G33" s="156">
        <f>'DCF - Financials'!G10</f>
        <v>0</v>
      </c>
      <c r="H33" s="156">
        <f>'DCF - Financials'!H10</f>
        <v>0</v>
      </c>
      <c r="I33" s="156">
        <f>'DCF - Financials'!I10</f>
        <v>0</v>
      </c>
      <c r="J33" s="156">
        <f>'DCF - Financials'!J10</f>
        <v>1284.7</v>
      </c>
      <c r="K33" s="262"/>
      <c r="L33" s="262"/>
      <c r="M33" s="262"/>
      <c r="N33" s="262"/>
      <c r="O33" s="262"/>
      <c r="P33" s="262"/>
      <c r="Q33" s="262"/>
      <c r="R33" s="262"/>
      <c r="S33"/>
      <c r="T33" s="188">
        <f t="shared" si="0"/>
        <v>1</v>
      </c>
      <c r="U33" s="35">
        <v>1</v>
      </c>
    </row>
    <row r="34" spans="1:98" s="2" customFormat="1" ht="13.05" customHeight="1">
      <c r="A34" s="62"/>
      <c r="B34" s="260" t="s">
        <v>149</v>
      </c>
      <c r="C34" s="24" t="s">
        <v>125</v>
      </c>
      <c r="D34" s="24" t="s">
        <v>123</v>
      </c>
      <c r="E34" s="261"/>
      <c r="F34" s="248">
        <v>0</v>
      </c>
      <c r="G34" s="248" t="str">
        <f>IFERROR(G33/F33-1,"-")</f>
        <v>-</v>
      </c>
      <c r="H34" s="247" t="str">
        <f>IFERROR(H33/G33-1,"-")</f>
        <v>-</v>
      </c>
      <c r="I34" s="247" t="str">
        <f>IFERROR(I33/H33-1,"-")</f>
        <v>-</v>
      </c>
      <c r="J34" s="247" t="str">
        <f>IFERROR(J33/I33-1,"-")</f>
        <v>-</v>
      </c>
      <c r="K34" s="200"/>
      <c r="L34" s="200"/>
      <c r="M34" s="200"/>
      <c r="N34" s="200"/>
      <c r="O34" s="200"/>
      <c r="P34" s="200"/>
      <c r="Q34" s="200"/>
      <c r="R34" s="200"/>
      <c r="S34"/>
      <c r="T34" s="188">
        <f t="shared" si="0"/>
        <v>1</v>
      </c>
      <c r="U34" s="35">
        <v>1</v>
      </c>
    </row>
    <row r="35" spans="1:98" s="2" customFormat="1" ht="13.05" customHeight="1">
      <c r="A35" s="62"/>
      <c r="B35" s="260" t="s">
        <v>151</v>
      </c>
      <c r="C35" s="24" t="s">
        <v>125</v>
      </c>
      <c r="D35" s="24" t="s">
        <v>128</v>
      </c>
      <c r="E35" s="24"/>
      <c r="F35" s="248">
        <f t="shared" ref="F35:J35" si="2">F33/F$43</f>
        <v>0</v>
      </c>
      <c r="G35" s="248">
        <f t="shared" si="2"/>
        <v>0</v>
      </c>
      <c r="H35" s="248">
        <f t="shared" si="2"/>
        <v>0</v>
      </c>
      <c r="I35" s="248">
        <f t="shared" si="2"/>
        <v>0</v>
      </c>
      <c r="J35" s="248">
        <f t="shared" si="2"/>
        <v>0.21848639455782315</v>
      </c>
      <c r="K35" s="259"/>
      <c r="L35" s="259"/>
      <c r="M35" s="259"/>
      <c r="N35" s="259"/>
      <c r="O35" s="259"/>
      <c r="P35" s="259"/>
      <c r="Q35" s="259"/>
      <c r="R35" s="259"/>
      <c r="S35"/>
      <c r="T35" s="188">
        <f t="shared" si="0"/>
        <v>1</v>
      </c>
      <c r="U35" s="35">
        <v>1</v>
      </c>
      <c r="V35" s="258"/>
    </row>
    <row r="36" spans="1:98" s="2" customFormat="1" ht="13.05" customHeight="1">
      <c r="A36" s="62"/>
      <c r="B36" s="260"/>
      <c r="C36" s="24"/>
      <c r="D36" s="24"/>
      <c r="E36" s="24"/>
      <c r="F36" s="248"/>
      <c r="G36" s="248"/>
      <c r="H36" s="248"/>
      <c r="I36" s="248"/>
      <c r="J36" s="248"/>
      <c r="K36" s="248"/>
      <c r="L36" s="248"/>
      <c r="M36" s="248"/>
      <c r="N36" s="248"/>
      <c r="O36" s="248"/>
      <c r="P36" s="248"/>
      <c r="Q36" s="248"/>
      <c r="R36" s="248"/>
      <c r="S36"/>
      <c r="T36" s="188">
        <f t="shared" si="0"/>
        <v>0</v>
      </c>
      <c r="U36" s="35">
        <v>0</v>
      </c>
      <c r="V36" s="258"/>
    </row>
    <row r="37" spans="1:98" s="2" customFormat="1" ht="13.05" customHeight="1" thickBot="1">
      <c r="A37" s="62"/>
      <c r="B37" s="219" t="s">
        <v>335</v>
      </c>
      <c r="C37" s="94"/>
      <c r="D37" s="94"/>
      <c r="E37" s="94"/>
      <c r="F37" s="263"/>
      <c r="G37" s="263"/>
      <c r="H37" s="263"/>
      <c r="I37" s="263"/>
      <c r="J37" s="263"/>
      <c r="K37" s="263"/>
      <c r="L37" s="263"/>
      <c r="M37" s="263"/>
      <c r="N37" s="263"/>
      <c r="O37" s="263"/>
      <c r="P37" s="263"/>
      <c r="Q37" s="263"/>
      <c r="R37" s="263"/>
      <c r="S37"/>
      <c r="T37" s="188">
        <f t="shared" si="0"/>
        <v>1</v>
      </c>
      <c r="U37" s="35">
        <v>1</v>
      </c>
      <c r="V37" s="258"/>
    </row>
    <row r="38" spans="1:98" s="2" customFormat="1" ht="13.05" customHeight="1">
      <c r="A38" s="62"/>
      <c r="B38" s="208" t="s">
        <v>335</v>
      </c>
      <c r="C38" s="43" t="s">
        <v>129</v>
      </c>
      <c r="D38" s="43" t="s">
        <v>128</v>
      </c>
      <c r="E38" s="240"/>
      <c r="F38" s="156">
        <f>'DCF - Financials'!F11</f>
        <v>0</v>
      </c>
      <c r="G38" s="156">
        <f>'DCF - Financials'!G11</f>
        <v>0</v>
      </c>
      <c r="H38" s="156">
        <f>'DCF - Financials'!H11</f>
        <v>344.7</v>
      </c>
      <c r="I38" s="156">
        <f>'DCF - Financials'!I11</f>
        <v>373.6</v>
      </c>
      <c r="J38" s="156">
        <f>'DCF - Financials'!J11</f>
        <v>373.8</v>
      </c>
      <c r="K38" s="262"/>
      <c r="L38" s="262"/>
      <c r="M38" s="262"/>
      <c r="N38" s="262"/>
      <c r="O38" s="262"/>
      <c r="P38" s="262"/>
      <c r="Q38" s="262"/>
      <c r="R38" s="262"/>
      <c r="S38"/>
      <c r="T38" s="188">
        <f t="shared" si="0"/>
        <v>1</v>
      </c>
      <c r="U38" s="35">
        <v>1</v>
      </c>
    </row>
    <row r="39" spans="1:98" s="2" customFormat="1" ht="13.05" customHeight="1">
      <c r="A39" s="62"/>
      <c r="B39" s="260" t="s">
        <v>149</v>
      </c>
      <c r="C39" s="24" t="s">
        <v>125</v>
      </c>
      <c r="D39" s="24" t="s">
        <v>123</v>
      </c>
      <c r="E39" s="261"/>
      <c r="F39" s="248">
        <v>0</v>
      </c>
      <c r="G39" s="248" t="str">
        <f>IFERROR(G38/F38-1,"-")</f>
        <v>-</v>
      </c>
      <c r="H39" s="247" t="str">
        <f>IFERROR(H38/G38-1,"-")</f>
        <v>-</v>
      </c>
      <c r="I39" s="247">
        <f>IFERROR(I38/H38-1,"-")</f>
        <v>8.3841021177835984E-2</v>
      </c>
      <c r="J39" s="247">
        <f>IFERROR(J38/I38-1,"-")</f>
        <v>5.353319057814776E-4</v>
      </c>
      <c r="K39" s="200"/>
      <c r="L39" s="200"/>
      <c r="M39" s="200"/>
      <c r="N39" s="200"/>
      <c r="O39" s="200"/>
      <c r="P39" s="200"/>
      <c r="Q39" s="200"/>
      <c r="R39" s="200"/>
      <c r="S39"/>
      <c r="T39" s="188">
        <f t="shared" si="0"/>
        <v>1</v>
      </c>
      <c r="U39" s="35">
        <v>1</v>
      </c>
    </row>
    <row r="40" spans="1:98" s="2" customFormat="1" ht="13.05" customHeight="1">
      <c r="A40" s="62"/>
      <c r="B40" s="260" t="s">
        <v>151</v>
      </c>
      <c r="C40" s="24" t="s">
        <v>125</v>
      </c>
      <c r="D40" s="24" t="s">
        <v>128</v>
      </c>
      <c r="E40" s="24"/>
      <c r="F40" s="248">
        <f t="shared" ref="F40:J40" si="3">F38/F$43</f>
        <v>0</v>
      </c>
      <c r="G40" s="248">
        <f t="shared" si="3"/>
        <v>0</v>
      </c>
      <c r="H40" s="248">
        <f t="shared" si="3"/>
        <v>7.6739837036377392E-2</v>
      </c>
      <c r="I40" s="248">
        <f t="shared" si="3"/>
        <v>8.3238642693224604E-2</v>
      </c>
      <c r="J40" s="248">
        <f t="shared" si="3"/>
        <v>6.357142857142857E-2</v>
      </c>
      <c r="K40" s="259"/>
      <c r="L40" s="259"/>
      <c r="M40" s="259"/>
      <c r="N40" s="259"/>
      <c r="O40" s="259"/>
      <c r="P40" s="259"/>
      <c r="Q40" s="259"/>
      <c r="R40" s="259"/>
      <c r="S40"/>
      <c r="T40" s="188">
        <f t="shared" si="0"/>
        <v>1</v>
      </c>
      <c r="U40" s="35">
        <v>1</v>
      </c>
      <c r="V40" s="258"/>
    </row>
    <row r="41" spans="1:98" s="69" customFormat="1" ht="13.05" customHeight="1">
      <c r="A41" s="62"/>
      <c r="B41" s="257"/>
      <c r="C41" s="62"/>
      <c r="D41" s="62"/>
      <c r="E41" s="58"/>
      <c r="F41" s="256"/>
      <c r="G41" s="248"/>
      <c r="H41" s="247"/>
      <c r="I41" s="247"/>
      <c r="J41" s="247"/>
      <c r="K41" s="247"/>
      <c r="L41" s="255"/>
      <c r="M41" s="255"/>
      <c r="N41" s="255"/>
      <c r="O41" s="255"/>
      <c r="P41" s="255"/>
      <c r="Q41" s="255"/>
      <c r="R41" s="255"/>
      <c r="S41"/>
      <c r="T41" s="188">
        <f t="shared" si="0"/>
        <v>0</v>
      </c>
      <c r="U41" s="35">
        <v>0</v>
      </c>
    </row>
    <row r="42" spans="1:98" s="2" customFormat="1" ht="13.05" customHeight="1" thickBot="1">
      <c r="A42" s="62"/>
      <c r="B42" s="219" t="s">
        <v>64</v>
      </c>
      <c r="C42" s="254"/>
      <c r="D42" s="254"/>
      <c r="E42" s="253"/>
      <c r="F42" s="252"/>
      <c r="G42" s="252"/>
      <c r="H42" s="252"/>
      <c r="I42" s="252"/>
      <c r="J42" s="252"/>
      <c r="K42" s="252"/>
      <c r="L42" s="252"/>
      <c r="M42" s="252"/>
      <c r="N42" s="252"/>
      <c r="O42" s="252"/>
      <c r="P42" s="252"/>
      <c r="Q42" s="252"/>
      <c r="R42" s="252"/>
      <c r="S42"/>
      <c r="T42" s="188">
        <f t="shared" si="0"/>
        <v>1</v>
      </c>
      <c r="U42" s="35">
        <v>1</v>
      </c>
    </row>
    <row r="43" spans="1:98" s="2" customFormat="1" ht="13.05" customHeight="1">
      <c r="A43" s="58"/>
      <c r="B43" s="202" t="s">
        <v>150</v>
      </c>
      <c r="C43" s="251" t="s">
        <v>129</v>
      </c>
      <c r="D43" s="251" t="s">
        <v>128</v>
      </c>
      <c r="E43" s="244"/>
      <c r="F43" s="235">
        <f t="shared" ref="F43:J43" si="4">F28+F33+F38</f>
        <v>4806.2259999999997</v>
      </c>
      <c r="G43" s="235">
        <f t="shared" si="4"/>
        <v>4191.6000000000004</v>
      </c>
      <c r="H43" s="235">
        <f t="shared" si="4"/>
        <v>4491.8</v>
      </c>
      <c r="I43" s="235">
        <f t="shared" si="4"/>
        <v>4488.3</v>
      </c>
      <c r="J43" s="235">
        <f t="shared" si="4"/>
        <v>5880</v>
      </c>
      <c r="K43" s="250"/>
      <c r="L43" s="250"/>
      <c r="M43" s="250"/>
      <c r="N43" s="250"/>
      <c r="O43" s="250"/>
      <c r="P43" s="250"/>
      <c r="Q43" s="250"/>
      <c r="R43" s="250"/>
      <c r="S43"/>
      <c r="T43" s="188">
        <f t="shared" si="0"/>
        <v>1</v>
      </c>
      <c r="U43" s="35">
        <v>1</v>
      </c>
    </row>
    <row r="44" spans="1:98" s="4" customFormat="1" ht="13.05" customHeight="1">
      <c r="B44" s="249" t="s">
        <v>149</v>
      </c>
      <c r="C44" s="4" t="s">
        <v>125</v>
      </c>
      <c r="D44" s="4" t="s">
        <v>128</v>
      </c>
      <c r="E44" s="24"/>
      <c r="F44" s="248" t="str">
        <f t="shared" ref="F44:J44" si="5">IFERROR(F43/E43-1,"-")</f>
        <v>-</v>
      </c>
      <c r="G44" s="248">
        <f t="shared" si="5"/>
        <v>-0.12788121074622782</v>
      </c>
      <c r="H44" s="247">
        <f t="shared" si="5"/>
        <v>7.1619429334860207E-2</v>
      </c>
      <c r="I44" s="247">
        <f t="shared" si="5"/>
        <v>-7.7919764904932354E-4</v>
      </c>
      <c r="J44" s="247">
        <f t="shared" si="5"/>
        <v>0.31007285609250723</v>
      </c>
      <c r="K44" s="246"/>
      <c r="L44" s="246"/>
      <c r="M44" s="246"/>
      <c r="N44" s="246"/>
      <c r="O44" s="246"/>
      <c r="P44" s="246"/>
      <c r="Q44" s="246"/>
      <c r="R44" s="246"/>
      <c r="S44"/>
      <c r="T44" s="188">
        <f t="shared" si="0"/>
        <v>1</v>
      </c>
      <c r="U44" s="35">
        <v>1</v>
      </c>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row>
    <row r="45" spans="1:98" s="4" customFormat="1" ht="13.05" customHeight="1">
      <c r="B45" s="245"/>
      <c r="E45" s="244"/>
      <c r="F45" s="8"/>
      <c r="G45" s="243"/>
      <c r="H45" s="243"/>
      <c r="I45" s="243"/>
      <c r="J45" s="243"/>
      <c r="K45" s="243"/>
      <c r="L45" s="243"/>
      <c r="M45" s="243"/>
      <c r="N45" s="243"/>
      <c r="O45" s="243"/>
      <c r="P45" s="243"/>
      <c r="Q45" s="243"/>
      <c r="R45" s="243"/>
      <c r="S45"/>
      <c r="T45" s="188">
        <f t="shared" si="0"/>
        <v>0</v>
      </c>
      <c r="U45" s="35">
        <v>0</v>
      </c>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row>
    <row r="46" spans="1:98" s="4" customFormat="1" ht="15.6">
      <c r="A46" s="242"/>
      <c r="B46" s="730" t="s">
        <v>148</v>
      </c>
      <c r="C46" s="731"/>
      <c r="D46" s="731"/>
      <c r="E46" s="731"/>
      <c r="F46" s="732"/>
      <c r="G46" s="732"/>
      <c r="H46" s="732"/>
      <c r="I46" s="732"/>
      <c r="J46" s="732"/>
      <c r="K46" s="732"/>
      <c r="L46" s="732"/>
      <c r="M46" s="732"/>
      <c r="N46" s="732"/>
      <c r="O46" s="732"/>
      <c r="P46" s="732"/>
      <c r="Q46" s="732"/>
      <c r="R46" s="732"/>
      <c r="S46"/>
      <c r="T46" s="188">
        <f t="shared" si="0"/>
        <v>1</v>
      </c>
      <c r="U46" s="35">
        <v>1</v>
      </c>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row>
    <row r="47" spans="1:98" s="4" customFormat="1" ht="13.05" customHeight="1" thickBot="1">
      <c r="A47" s="24"/>
      <c r="B47" s="219" t="s">
        <v>147</v>
      </c>
      <c r="C47" s="94"/>
      <c r="D47" s="94"/>
      <c r="E47" s="94"/>
      <c r="F47" s="203"/>
      <c r="G47" s="203"/>
      <c r="H47" s="203"/>
      <c r="I47" s="203"/>
      <c r="J47" s="203"/>
      <c r="K47" s="203"/>
      <c r="L47" s="203"/>
      <c r="M47" s="203"/>
      <c r="N47" s="203"/>
      <c r="O47" s="203"/>
      <c r="P47" s="203"/>
      <c r="Q47" s="203"/>
      <c r="R47" s="203"/>
      <c r="S47" s="189"/>
      <c r="T47" s="188">
        <f t="shared" si="0"/>
        <v>1</v>
      </c>
      <c r="U47" s="35">
        <v>1</v>
      </c>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row>
    <row r="48" spans="1:98" s="4" customFormat="1" ht="13.05" customHeight="1">
      <c r="A48" s="24"/>
      <c r="B48" s="237" t="s">
        <v>145</v>
      </c>
      <c r="F48" s="62"/>
      <c r="G48" s="62"/>
      <c r="H48" s="62"/>
      <c r="I48" s="62"/>
      <c r="J48" s="62"/>
      <c r="K48" s="62"/>
      <c r="L48" s="62"/>
      <c r="M48" s="62"/>
      <c r="N48" s="62"/>
      <c r="O48" s="62"/>
      <c r="P48" s="62"/>
      <c r="Q48" s="62"/>
      <c r="R48" s="62"/>
      <c r="S48" s="189"/>
      <c r="T48" s="188">
        <f t="shared" si="0"/>
        <v>1</v>
      </c>
      <c r="U48" s="35">
        <v>1</v>
      </c>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row>
    <row r="49" spans="1:98" s="4" customFormat="1" ht="13.05" customHeight="1">
      <c r="A49" s="30"/>
      <c r="B49" s="24" t="s">
        <v>319</v>
      </c>
      <c r="C49" s="24" t="s">
        <v>125</v>
      </c>
      <c r="D49" s="24" t="s">
        <v>123</v>
      </c>
      <c r="E49" s="34"/>
      <c r="F49" s="226">
        <f>IFERROR(-'DCF - Financials'!F14/'DCF - Financials'!F9,0)</f>
        <v>0.31402247834371499</v>
      </c>
      <c r="G49" s="226">
        <f>IFERROR(-'DCF - Financials'!G14/'DCF - Financials'!G9,0)</f>
        <v>0.30608836721061167</v>
      </c>
      <c r="H49" s="226">
        <f>IFERROR(-'DCF - Financials'!H14/'DCF - Financials'!H9,0)</f>
        <v>0.31303802657278579</v>
      </c>
      <c r="I49" s="226">
        <f>IFERROR(-'DCF - Financials'!I14/'DCF - Financials'!I9,0)</f>
        <v>0.30614625610615598</v>
      </c>
      <c r="J49" s="226">
        <f>IFERROR(-'DCF - Financials'!J14/'DCF - Financials'!J9,0)</f>
        <v>0.30557858581073077</v>
      </c>
      <c r="K49" s="236"/>
      <c r="L49" s="236"/>
      <c r="M49" s="236"/>
      <c r="N49" s="236"/>
      <c r="O49" s="236"/>
      <c r="P49" s="236"/>
      <c r="Q49" s="236"/>
      <c r="R49" s="236"/>
      <c r="S49" s="189"/>
      <c r="T49" s="188">
        <f t="shared" si="0"/>
        <v>1</v>
      </c>
      <c r="U49" s="35">
        <v>1</v>
      </c>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row>
    <row r="50" spans="1:98" s="4" customFormat="1" ht="13.05" customHeight="1">
      <c r="A50" s="30"/>
      <c r="B50" s="24" t="s">
        <v>320</v>
      </c>
      <c r="C50" s="24" t="s">
        <v>125</v>
      </c>
      <c r="D50" s="24" t="s">
        <v>123</v>
      </c>
      <c r="E50" s="34"/>
      <c r="F50" s="226">
        <f>IFERROR(-'DCF - Financials'!F15/'DCF - Financials'!F10,0)</f>
        <v>0</v>
      </c>
      <c r="G50" s="226">
        <f>IFERROR(-'DCF - Financials'!G15/'DCF - Financials'!G10,0)</f>
        <v>0</v>
      </c>
      <c r="H50" s="226">
        <f>IFERROR(-'DCF - Financials'!H15/'DCF - Financials'!H10,0)</f>
        <v>0</v>
      </c>
      <c r="I50" s="226">
        <f>IFERROR(-'DCF - Financials'!I15/'DCF - Financials'!I10,0)</f>
        <v>0</v>
      </c>
      <c r="J50" s="226">
        <f>IFERROR(-'DCF - Financials'!J15/'DCF - Financials'!J10,0)</f>
        <v>0.44648556083132251</v>
      </c>
      <c r="K50" s="236"/>
      <c r="L50" s="236"/>
      <c r="M50" s="236"/>
      <c r="N50" s="236"/>
      <c r="O50" s="236"/>
      <c r="P50" s="236"/>
      <c r="Q50" s="236"/>
      <c r="R50" s="236"/>
      <c r="S50" s="189"/>
      <c r="T50" s="188">
        <f t="shared" si="0"/>
        <v>1</v>
      </c>
      <c r="U50" s="35">
        <v>1</v>
      </c>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row>
    <row r="51" spans="1:98" s="4" customFormat="1" ht="13.05" customHeight="1">
      <c r="A51" s="30"/>
      <c r="B51" s="169" t="s">
        <v>321</v>
      </c>
      <c r="C51" s="24" t="s">
        <v>125</v>
      </c>
      <c r="D51" s="24" t="s">
        <v>123</v>
      </c>
      <c r="E51" s="34"/>
      <c r="F51" s="226">
        <f>IFERROR(-'DCF - Financials'!F16/'DCF - Financials'!F11,0)</f>
        <v>0</v>
      </c>
      <c r="G51" s="226">
        <f>IFERROR(-'DCF - Financials'!G16/'DCF - Financials'!G11,0)</f>
        <v>0</v>
      </c>
      <c r="H51" s="226">
        <f>IFERROR(-'DCF - Financials'!H16/'DCF - Financials'!H11,0)</f>
        <v>0.41282274441543376</v>
      </c>
      <c r="I51" s="226">
        <f>IFERROR(-'DCF - Financials'!I16/'DCF - Financials'!I11,0)</f>
        <v>0.39480728051391861</v>
      </c>
      <c r="J51" s="226">
        <f>IFERROR(-'DCF - Financials'!J16/'DCF - Financials'!J11,0)</f>
        <v>0.43472445157838413</v>
      </c>
      <c r="K51" s="236"/>
      <c r="L51" s="236"/>
      <c r="M51" s="236"/>
      <c r="N51" s="236"/>
      <c r="O51" s="236"/>
      <c r="P51" s="236"/>
      <c r="Q51" s="236"/>
      <c r="R51" s="236"/>
      <c r="S51" s="189"/>
      <c r="T51" s="188">
        <f t="shared" si="0"/>
        <v>1</v>
      </c>
      <c r="U51" s="35">
        <v>1</v>
      </c>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row>
    <row r="52" spans="1:98" ht="13.05" customHeight="1">
      <c r="A52" s="30"/>
      <c r="B52" s="208" t="s">
        <v>120</v>
      </c>
      <c r="C52" s="241" t="s">
        <v>129</v>
      </c>
      <c r="D52" s="241" t="s">
        <v>128</v>
      </c>
      <c r="E52" s="240"/>
      <c r="F52" s="239">
        <f>-'DCF - Financials'!F17</f>
        <v>1509.2629999999999</v>
      </c>
      <c r="G52" s="239">
        <f>-'DCF - Financials'!G17</f>
        <v>1283</v>
      </c>
      <c r="H52" s="239">
        <f>-'DCF - Financials'!H17</f>
        <v>1440.5</v>
      </c>
      <c r="I52" s="239">
        <f>-'DCF - Financials'!I17</f>
        <v>1407.2</v>
      </c>
      <c r="J52" s="239">
        <f>-'DCF - Financials'!J17</f>
        <v>2026.1</v>
      </c>
      <c r="K52" s="238"/>
      <c r="L52" s="238"/>
      <c r="M52" s="238"/>
      <c r="N52" s="238"/>
      <c r="O52" s="238"/>
      <c r="P52" s="238"/>
      <c r="Q52" s="238"/>
      <c r="R52" s="238"/>
      <c r="S52" s="189"/>
      <c r="T52" s="188">
        <f t="shared" si="0"/>
        <v>1</v>
      </c>
      <c r="U52" s="35">
        <v>1</v>
      </c>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row>
    <row r="53" spans="1:98" s="4" customFormat="1" ht="13.05" customHeight="1">
      <c r="A53" s="30"/>
      <c r="B53" s="169"/>
      <c r="C53" s="24"/>
      <c r="D53" s="24"/>
      <c r="E53" s="34"/>
      <c r="F53" s="226"/>
      <c r="G53" s="226"/>
      <c r="H53" s="226"/>
      <c r="I53" s="226"/>
      <c r="J53" s="226"/>
      <c r="K53" s="226"/>
      <c r="L53" s="226"/>
      <c r="M53" s="226"/>
      <c r="N53" s="226"/>
      <c r="O53" s="226"/>
      <c r="P53" s="226"/>
      <c r="Q53" s="226"/>
      <c r="R53" s="226"/>
      <c r="S53" s="189"/>
      <c r="T53" s="188">
        <f t="shared" si="0"/>
        <v>0</v>
      </c>
      <c r="U53" s="35">
        <v>0</v>
      </c>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c r="CR53" s="24"/>
      <c r="CS53" s="24"/>
      <c r="CT53" s="24"/>
    </row>
    <row r="54" spans="1:98" s="4" customFormat="1" ht="13.05" customHeight="1" thickBot="1">
      <c r="A54" s="30"/>
      <c r="B54" s="219" t="s">
        <v>146</v>
      </c>
      <c r="C54" s="94"/>
      <c r="D54" s="94"/>
      <c r="E54" s="94"/>
      <c r="F54" s="203"/>
      <c r="G54" s="203"/>
      <c r="H54" s="203"/>
      <c r="I54" s="203"/>
      <c r="J54" s="203"/>
      <c r="K54" s="203"/>
      <c r="L54" s="203"/>
      <c r="M54" s="203"/>
      <c r="N54" s="203"/>
      <c r="O54" s="203"/>
      <c r="P54" s="203"/>
      <c r="Q54" s="203"/>
      <c r="R54" s="203"/>
      <c r="S54" s="189"/>
      <c r="T54" s="188">
        <f t="shared" si="0"/>
        <v>1</v>
      </c>
      <c r="U54" s="35">
        <v>1</v>
      </c>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row>
    <row r="55" spans="1:98" s="4" customFormat="1" ht="13.05" customHeight="1">
      <c r="A55" s="30"/>
      <c r="B55" s="237" t="s">
        <v>145</v>
      </c>
      <c r="F55" s="62"/>
      <c r="G55" s="62"/>
      <c r="H55" s="62"/>
      <c r="I55" s="62"/>
      <c r="J55" s="62"/>
      <c r="K55" s="62"/>
      <c r="L55" s="62"/>
      <c r="M55" s="62"/>
      <c r="N55" s="62"/>
      <c r="O55" s="62"/>
      <c r="P55" s="62"/>
      <c r="Q55" s="62"/>
      <c r="R55" s="62"/>
      <c r="S55" s="189"/>
      <c r="T55" s="188">
        <f t="shared" si="0"/>
        <v>1</v>
      </c>
      <c r="U55" s="35">
        <v>1</v>
      </c>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row>
    <row r="56" spans="1:98" s="4" customFormat="1" ht="13.05" customHeight="1">
      <c r="A56" s="30"/>
      <c r="B56" s="24" t="s">
        <v>322</v>
      </c>
      <c r="C56" s="24" t="s">
        <v>125</v>
      </c>
      <c r="D56" s="24" t="s">
        <v>123</v>
      </c>
      <c r="E56" s="34"/>
      <c r="F56" s="226">
        <f>IFERROR(-'DCF - Financials'!F19/'DCF - Financials'!F9,0)</f>
        <v>0.38810248970201872</v>
      </c>
      <c r="G56" s="226">
        <f>IFERROR(-'DCF - Financials'!G19/'DCF - Financials'!G9,0)</f>
        <v>0.46825643796842931</v>
      </c>
      <c r="H56" s="226">
        <f>IFERROR(-'DCF - Financials'!H19/'DCF - Financials'!H9,0)</f>
        <v>0.43994598635190851</v>
      </c>
      <c r="I56" s="226">
        <f>IFERROR(-'DCF - Financials'!I19/'DCF - Financials'!I9,0)</f>
        <v>0.44110141687121784</v>
      </c>
      <c r="J56" s="226">
        <f>IFERROR(-'DCF - Financials'!J19/'DCF - Financials'!J9,0)</f>
        <v>0.43759327253345964</v>
      </c>
      <c r="K56" s="236"/>
      <c r="L56" s="236"/>
      <c r="M56" s="236"/>
      <c r="N56" s="236"/>
      <c r="O56" s="236"/>
      <c r="P56" s="236"/>
      <c r="Q56" s="236"/>
      <c r="R56" s="236"/>
      <c r="S56" s="189"/>
      <c r="T56" s="188">
        <f t="shared" si="0"/>
        <v>1</v>
      </c>
      <c r="U56" s="35">
        <v>1</v>
      </c>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row>
    <row r="57" spans="1:98" s="4" customFormat="1" ht="13.05" customHeight="1">
      <c r="A57" s="30"/>
      <c r="B57" s="24" t="s">
        <v>323</v>
      </c>
      <c r="C57" s="24" t="s">
        <v>125</v>
      </c>
      <c r="D57" s="24" t="s">
        <v>123</v>
      </c>
      <c r="E57" s="34"/>
      <c r="F57" s="226">
        <f>IFERROR(-'DCF - Financials'!F20/'DCF - Financials'!F10,0)</f>
        <v>0</v>
      </c>
      <c r="G57" s="799">
        <f>IFERROR(-'DCF - Financials'!G20/'DCF - Financials'!G10,0)</f>
        <v>0</v>
      </c>
      <c r="H57" s="226">
        <f>IFERROR(-'DCF - Financials'!H20/'DCF - Financials'!H10,0)</f>
        <v>0</v>
      </c>
      <c r="I57" s="226">
        <f>IFERROR(-'DCF - Financials'!I20/'DCF - Financials'!I10,0)</f>
        <v>0</v>
      </c>
      <c r="J57" s="226">
        <f>IFERROR(-'DCF - Financials'!J20/'DCF - Financials'!J10,0)</f>
        <v>0.60169689421654859</v>
      </c>
      <c r="K57" s="236"/>
      <c r="L57" s="236"/>
      <c r="M57" s="236"/>
      <c r="N57" s="236"/>
      <c r="O57" s="236"/>
      <c r="P57" s="236"/>
      <c r="Q57" s="236"/>
      <c r="R57" s="236"/>
      <c r="S57" s="189"/>
      <c r="T57" s="188">
        <f t="shared" si="0"/>
        <v>1</v>
      </c>
      <c r="U57" s="35">
        <v>1</v>
      </c>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row>
    <row r="58" spans="1:98" s="4" customFormat="1" ht="13.05" customHeight="1">
      <c r="A58" s="30"/>
      <c r="B58" s="169" t="s">
        <v>324</v>
      </c>
      <c r="C58" s="24" t="s">
        <v>125</v>
      </c>
      <c r="D58" s="24" t="s">
        <v>123</v>
      </c>
      <c r="E58" s="34"/>
      <c r="F58" s="226">
        <f>IFERROR(-'DCF - Financials'!F21/'DCF - Financials'!F11,0)</f>
        <v>0</v>
      </c>
      <c r="G58" s="226">
        <f>IFERROR(-'DCF - Financials'!G21/'DCF - Financials'!G11,0)</f>
        <v>0</v>
      </c>
      <c r="H58" s="226">
        <f>IFERROR(-'DCF - Financials'!H21/'DCF - Financials'!H11,0)</f>
        <v>0.49289237017696552</v>
      </c>
      <c r="I58" s="226">
        <f>IFERROR(-'DCF - Financials'!I21/'DCF - Financials'!I11,0)</f>
        <v>0.56370449678800849</v>
      </c>
      <c r="J58" s="226">
        <f>IFERROR(-'DCF - Financials'!J21/'DCF - Financials'!J11,0)</f>
        <v>0.57223113964687</v>
      </c>
      <c r="K58" s="236"/>
      <c r="L58" s="236"/>
      <c r="M58" s="236"/>
      <c r="N58" s="236"/>
      <c r="O58" s="236"/>
      <c r="P58" s="236"/>
      <c r="Q58" s="236"/>
      <c r="R58" s="236"/>
      <c r="S58" s="189"/>
      <c r="T58" s="188">
        <f t="shared" si="0"/>
        <v>1</v>
      </c>
      <c r="U58" s="35">
        <v>1</v>
      </c>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c r="CQ58" s="24"/>
      <c r="CR58" s="24"/>
      <c r="CS58" s="24"/>
      <c r="CT58" s="24"/>
    </row>
    <row r="59" spans="1:98" s="4" customFormat="1" ht="13.05" customHeight="1">
      <c r="A59" s="30"/>
      <c r="B59" s="169" t="s">
        <v>318</v>
      </c>
      <c r="C59" s="24" t="s">
        <v>125</v>
      </c>
      <c r="D59" s="24" t="s">
        <v>123</v>
      </c>
      <c r="E59" s="34"/>
      <c r="F59" s="226">
        <f>IFERROR(-'DCF - Financials'!F22/'DCF - Assumptions'!F43,0)</f>
        <v>6.4828562645498911E-2</v>
      </c>
      <c r="G59" s="226">
        <f>IFERROR(-'DCF - Financials'!G22/'DCF - Assumptions'!G43,0)</f>
        <v>7.8217462212885613E-2</v>
      </c>
      <c r="H59" s="226">
        <f>IFERROR(-'DCF - Financials'!H22/'DCF - Assumptions'!H43,0)</f>
        <v>8.9808094750434123E-2</v>
      </c>
      <c r="I59" s="226">
        <f>IFERROR(-'DCF - Financials'!I22/'DCF - Assumptions'!I43,0)</f>
        <v>5.9733083795646458E-2</v>
      </c>
      <c r="J59" s="226">
        <f>IFERROR(-'DCF - Financials'!J22/'DCF - Assumptions'!J43,0)</f>
        <v>5.9336734693877548E-2</v>
      </c>
      <c r="K59" s="236"/>
      <c r="L59" s="236"/>
      <c r="M59" s="236"/>
      <c r="N59" s="236"/>
      <c r="O59" s="236"/>
      <c r="P59" s="236"/>
      <c r="Q59" s="236"/>
      <c r="R59" s="236"/>
      <c r="S59" s="189"/>
      <c r="T59" s="188">
        <f t="shared" si="0"/>
        <v>1</v>
      </c>
      <c r="U59" s="35">
        <v>1</v>
      </c>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row>
    <row r="60" spans="1:98" s="4" customFormat="1" ht="13.05" customHeight="1">
      <c r="A60" s="30"/>
      <c r="C60" s="34"/>
      <c r="D60" s="34"/>
      <c r="E60" s="34"/>
      <c r="F60" s="34"/>
      <c r="G60" s="34"/>
      <c r="H60" s="34"/>
      <c r="I60" s="34"/>
      <c r="J60" s="34"/>
      <c r="K60" s="34"/>
      <c r="L60" s="34"/>
      <c r="M60" s="34"/>
      <c r="N60" s="34"/>
      <c r="O60" s="34"/>
      <c r="P60" s="34"/>
      <c r="Q60" s="34"/>
      <c r="R60" s="34"/>
      <c r="S60" s="189"/>
      <c r="T60" s="188">
        <f t="shared" si="0"/>
        <v>0</v>
      </c>
      <c r="U60" s="35">
        <v>0</v>
      </c>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row>
    <row r="61" spans="1:98" s="4" customFormat="1" ht="13.05" customHeight="1" thickBot="1">
      <c r="A61" s="30"/>
      <c r="B61" s="219" t="s">
        <v>144</v>
      </c>
      <c r="C61" s="94"/>
      <c r="D61" s="94"/>
      <c r="E61" s="94"/>
      <c r="F61" s="203"/>
      <c r="G61" s="203"/>
      <c r="H61" s="203"/>
      <c r="I61" s="203"/>
      <c r="J61" s="203"/>
      <c r="K61" s="203"/>
      <c r="L61" s="203"/>
      <c r="M61" s="203"/>
      <c r="N61" s="203"/>
      <c r="O61" s="203"/>
      <c r="P61" s="203"/>
      <c r="Q61" s="203"/>
      <c r="R61" s="203"/>
      <c r="S61" s="189"/>
      <c r="T61" s="188">
        <f t="shared" si="0"/>
        <v>1</v>
      </c>
      <c r="U61" s="35">
        <v>1</v>
      </c>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row>
    <row r="62" spans="1:98" ht="13.05" customHeight="1">
      <c r="A62" s="30"/>
      <c r="B62" s="237" t="s">
        <v>143</v>
      </c>
      <c r="C62" s="4"/>
      <c r="D62" s="4"/>
      <c r="E62" s="4"/>
      <c r="F62" s="235"/>
      <c r="G62" s="235"/>
      <c r="H62" s="235"/>
      <c r="I62" s="235"/>
      <c r="J62" s="235"/>
      <c r="K62" s="235"/>
      <c r="L62" s="235"/>
      <c r="M62" s="235"/>
      <c r="N62" s="235"/>
      <c r="O62" s="235"/>
      <c r="P62" s="235"/>
      <c r="Q62" s="235"/>
      <c r="R62" s="235"/>
      <c r="S62" s="189"/>
      <c r="T62" s="188">
        <f t="shared" si="0"/>
        <v>1</v>
      </c>
      <c r="U62" s="35">
        <v>1</v>
      </c>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row>
    <row r="63" spans="1:98" ht="13.05" customHeight="1">
      <c r="A63" s="30"/>
      <c r="B63" s="169" t="s">
        <v>325</v>
      </c>
      <c r="C63" s="24" t="s">
        <v>125</v>
      </c>
      <c r="D63" s="24" t="s">
        <v>123</v>
      </c>
      <c r="E63" s="4"/>
      <c r="F63" s="226">
        <f>IFERROR('DCF - Financials'!F25/'DCF - Financials'!F9,0)</f>
        <v>0.29787503195426629</v>
      </c>
      <c r="G63" s="226">
        <f>IFERROR('DCF - Financials'!G25/'DCF - Financials'!G9,0)</f>
        <v>0.225655194820959</v>
      </c>
      <c r="H63" s="226">
        <f>IFERROR('DCF - Financials'!H25/'DCF - Financials'!H9,0)</f>
        <v>0.24701598707530575</v>
      </c>
      <c r="I63" s="226">
        <f>IFERROR('DCF - Financials'!I25/'DCF - Financials'!I9,0)</f>
        <v>0.25275232702262618</v>
      </c>
      <c r="J63" s="226">
        <f>IFERROR('DCF - Financials'!J25/'DCF - Financials'!J9,0)</f>
        <v>0.25682814165580958</v>
      </c>
      <c r="K63" s="234"/>
      <c r="L63" s="234"/>
      <c r="M63" s="234"/>
      <c r="N63" s="234"/>
      <c r="O63" s="234"/>
      <c r="P63" s="234"/>
      <c r="Q63" s="234"/>
      <c r="R63" s="234"/>
      <c r="S63" s="189"/>
      <c r="T63" s="188">
        <f t="shared" si="0"/>
        <v>1</v>
      </c>
      <c r="U63" s="35">
        <v>1</v>
      </c>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row>
    <row r="64" spans="1:98" ht="13.05" customHeight="1">
      <c r="A64" s="30"/>
      <c r="B64" s="202" t="s">
        <v>326</v>
      </c>
      <c r="C64" s="24" t="s">
        <v>125</v>
      </c>
      <c r="D64" s="24" t="s">
        <v>123</v>
      </c>
      <c r="F64" s="226">
        <f>IFERROR('DCF - Financials'!F26/'DCF - Financials'!F10,0)</f>
        <v>0</v>
      </c>
      <c r="G64" s="226">
        <f>IFERROR('DCF - Financials'!G26/'DCF - Financials'!G10,0)</f>
        <v>0</v>
      </c>
      <c r="H64" s="226">
        <f>IFERROR('DCF - Financials'!H26/'DCF - Financials'!H10,0)</f>
        <v>0</v>
      </c>
      <c r="I64" s="226">
        <f>IFERROR('DCF - Financials'!I26/'DCF - Financials'!I10,0)</f>
        <v>0</v>
      </c>
      <c r="J64" s="226">
        <f>IFERROR('DCF - Financials'!J26/'DCF - Financials'!J10,0)</f>
        <v>-4.8182455047871081E-2</v>
      </c>
      <c r="K64" s="234"/>
      <c r="L64" s="234"/>
      <c r="M64" s="234"/>
      <c r="N64" s="234"/>
      <c r="O64" s="234"/>
      <c r="P64" s="234"/>
      <c r="Q64" s="234"/>
      <c r="R64" s="234"/>
      <c r="S64" s="189"/>
      <c r="T64" s="188">
        <f t="shared" si="0"/>
        <v>1</v>
      </c>
      <c r="U64" s="35">
        <v>1</v>
      </c>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row>
    <row r="65" spans="1:98" ht="13.05" customHeight="1">
      <c r="A65" s="30"/>
      <c r="B65" s="202" t="s">
        <v>327</v>
      </c>
      <c r="C65" s="24" t="s">
        <v>125</v>
      </c>
      <c r="D65" s="24" t="s">
        <v>123</v>
      </c>
      <c r="F65" s="226">
        <f>IFERROR('DCF - Financials'!F27/'DCF - Financials'!F11,0)</f>
        <v>0</v>
      </c>
      <c r="G65" s="226">
        <f>IFERROR('DCF - Financials'!G27/'DCF - Financials'!G11,0)</f>
        <v>0</v>
      </c>
      <c r="H65" s="226">
        <f>IFERROR('DCF - Financials'!H27/'DCF - Financials'!H11,0)</f>
        <v>9.428488540760073E-2</v>
      </c>
      <c r="I65" s="226">
        <f>IFERROR('DCF - Financials'!I27/'DCF - Financials'!I11,0)</f>
        <v>4.1488222698072875E-2</v>
      </c>
      <c r="J65" s="226">
        <f>IFERROR('DCF - Financials'!J27/'DCF - Financials'!J11,0)</f>
        <v>-6.955591225254131E-3</v>
      </c>
      <c r="K65" s="234"/>
      <c r="L65" s="234"/>
      <c r="M65" s="234"/>
      <c r="N65" s="234"/>
      <c r="O65" s="234"/>
      <c r="P65" s="234"/>
      <c r="Q65" s="234"/>
      <c r="R65" s="234"/>
      <c r="S65" s="189"/>
      <c r="T65" s="188">
        <f t="shared" si="0"/>
        <v>1</v>
      </c>
      <c r="U65" s="35">
        <v>1</v>
      </c>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4"/>
      <c r="CD65" s="24"/>
      <c r="CE65" s="24"/>
      <c r="CF65" s="24"/>
      <c r="CG65" s="24"/>
      <c r="CH65" s="24"/>
      <c r="CI65" s="24"/>
      <c r="CJ65" s="24"/>
      <c r="CK65" s="24"/>
      <c r="CL65" s="24"/>
      <c r="CM65" s="24"/>
      <c r="CN65" s="24"/>
      <c r="CO65" s="24"/>
      <c r="CP65" s="24"/>
      <c r="CQ65" s="24"/>
      <c r="CR65" s="24"/>
      <c r="CS65" s="24"/>
      <c r="CT65" s="24"/>
    </row>
    <row r="66" spans="1:98" s="43" customFormat="1" ht="13.05" customHeight="1">
      <c r="A66" s="30"/>
      <c r="B66" s="208" t="s">
        <v>142</v>
      </c>
      <c r="C66" s="43" t="s">
        <v>129</v>
      </c>
      <c r="D66" s="43" t="s">
        <v>128</v>
      </c>
      <c r="F66" s="233">
        <f>'DCF - Financials'!F29</f>
        <v>1120.0739999999996</v>
      </c>
      <c r="G66" s="233">
        <f>'DCF - Financials'!G29</f>
        <v>618.00000000000045</v>
      </c>
      <c r="H66" s="233">
        <f>'DCF - Financials'!H29</f>
        <v>653.50000000000057</v>
      </c>
      <c r="I66" s="233">
        <f>'DCF - Financials'!I29</f>
        <v>787.4</v>
      </c>
      <c r="J66" s="233">
        <f>'DCF - Financials'!J29</f>
        <v>670.80000000000007</v>
      </c>
      <c r="K66" s="232"/>
      <c r="L66" s="232"/>
      <c r="M66" s="232"/>
      <c r="N66" s="232"/>
      <c r="O66" s="232"/>
      <c r="P66" s="232"/>
      <c r="Q66" s="232"/>
      <c r="R66" s="232"/>
      <c r="S66" s="189"/>
      <c r="T66" s="188">
        <f t="shared" si="0"/>
        <v>1</v>
      </c>
      <c r="U66" s="35">
        <v>1</v>
      </c>
      <c r="V66" s="4"/>
    </row>
    <row r="67" spans="1:98" ht="13.05" customHeight="1">
      <c r="A67" s="30"/>
      <c r="B67" s="230" t="s">
        <v>141</v>
      </c>
      <c r="C67" s="62" t="s">
        <v>125</v>
      </c>
      <c r="D67" s="62" t="s">
        <v>128</v>
      </c>
      <c r="E67" s="62"/>
      <c r="F67" s="229">
        <f>'DCF - Financials'!F29/'DCF - Financials'!F12</f>
        <v>0.23304646930876735</v>
      </c>
      <c r="G67" s="229">
        <f>'DCF - Financials'!G29/'DCF - Financials'!G12</f>
        <v>0.14743773260807339</v>
      </c>
      <c r="H67" s="229">
        <f>'DCF - Financials'!H29/'DCF - Financials'!H12</f>
        <v>0.14548733247250559</v>
      </c>
      <c r="I67" s="229">
        <f>'DCF - Financials'!I29/'DCF - Financials'!I12</f>
        <v>0.1754339059332041</v>
      </c>
      <c r="J67" s="229">
        <f>'DCF - Financials'!J29/'DCF - Financials'!J12</f>
        <v>0.11408163265306123</v>
      </c>
      <c r="K67" s="231"/>
      <c r="L67" s="231"/>
      <c r="M67" s="231"/>
      <c r="N67" s="231"/>
      <c r="O67" s="231"/>
      <c r="P67" s="231"/>
      <c r="Q67" s="231"/>
      <c r="R67" s="231"/>
      <c r="S67" s="189"/>
      <c r="T67" s="188">
        <f t="shared" si="0"/>
        <v>1</v>
      </c>
      <c r="U67" s="35">
        <v>1</v>
      </c>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c r="CA67" s="24"/>
      <c r="CB67" s="24"/>
      <c r="CC67" s="24"/>
      <c r="CD67" s="24"/>
      <c r="CE67" s="24"/>
      <c r="CF67" s="24"/>
      <c r="CG67" s="24"/>
      <c r="CH67" s="24"/>
      <c r="CI67" s="24"/>
      <c r="CJ67" s="24"/>
      <c r="CK67" s="24"/>
      <c r="CL67" s="24"/>
      <c r="CM67" s="24"/>
      <c r="CN67" s="24"/>
      <c r="CO67" s="24"/>
      <c r="CP67" s="24"/>
      <c r="CQ67" s="24"/>
      <c r="CR67" s="24"/>
      <c r="CS67" s="24"/>
      <c r="CT67" s="24"/>
    </row>
    <row r="68" spans="1:98" ht="13.05" customHeight="1">
      <c r="A68" s="30"/>
      <c r="B68" s="230"/>
      <c r="C68" s="62"/>
      <c r="D68" s="62"/>
      <c r="E68" s="62"/>
      <c r="F68" s="229"/>
      <c r="G68" s="229"/>
      <c r="H68" s="229"/>
      <c r="I68" s="229"/>
      <c r="J68" s="229"/>
      <c r="K68" s="229"/>
      <c r="L68" s="229"/>
      <c r="M68" s="229"/>
      <c r="N68" s="229"/>
      <c r="O68" s="229"/>
      <c r="P68" s="229"/>
      <c r="Q68" s="229"/>
      <c r="R68" s="229"/>
      <c r="S68" s="189"/>
      <c r="T68" s="188">
        <f t="shared" si="0"/>
        <v>0</v>
      </c>
      <c r="U68" s="35">
        <v>0</v>
      </c>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24"/>
      <c r="CG68" s="24"/>
      <c r="CH68" s="24"/>
      <c r="CI68" s="24"/>
      <c r="CJ68" s="24"/>
      <c r="CK68" s="24"/>
      <c r="CL68" s="24"/>
      <c r="CM68" s="24"/>
      <c r="CN68" s="24"/>
      <c r="CO68" s="24"/>
      <c r="CP68" s="24"/>
      <c r="CQ68" s="24"/>
      <c r="CR68" s="24"/>
      <c r="CS68" s="24"/>
      <c r="CT68" s="24"/>
    </row>
    <row r="69" spans="1:98" s="58" customFormat="1" ht="13.05" customHeight="1" thickBot="1">
      <c r="A69" s="30"/>
      <c r="B69" s="219" t="s">
        <v>616</v>
      </c>
      <c r="C69" s="94"/>
      <c r="D69" s="94"/>
      <c r="E69" s="94"/>
      <c r="F69" s="203"/>
      <c r="G69" s="203"/>
      <c r="H69" s="203"/>
      <c r="I69" s="203"/>
      <c r="J69" s="203"/>
      <c r="K69" s="203"/>
      <c r="L69" s="203"/>
      <c r="M69" s="203"/>
      <c r="N69" s="203"/>
      <c r="O69" s="203"/>
      <c r="P69" s="203"/>
      <c r="Q69" s="203"/>
      <c r="R69" s="203"/>
      <c r="S69" s="189"/>
      <c r="T69" s="188">
        <f t="shared" si="0"/>
        <v>1</v>
      </c>
      <c r="U69" s="35">
        <v>1</v>
      </c>
    </row>
    <row r="70" spans="1:98" s="58" customFormat="1" ht="13.05" customHeight="1">
      <c r="A70" s="30"/>
      <c r="B70" s="237" t="s">
        <v>615</v>
      </c>
      <c r="C70" s="4"/>
      <c r="D70" s="4"/>
      <c r="E70" s="4"/>
      <c r="F70" s="62"/>
      <c r="G70" s="62"/>
      <c r="H70" s="62"/>
      <c r="I70" s="62"/>
      <c r="J70" s="62"/>
      <c r="K70" s="62"/>
      <c r="L70" s="62"/>
      <c r="M70" s="62"/>
      <c r="N70" s="62"/>
      <c r="O70" s="62"/>
      <c r="P70" s="62"/>
      <c r="Q70" s="62"/>
      <c r="R70" s="62"/>
      <c r="S70" s="189"/>
      <c r="T70" s="188">
        <f t="shared" si="0"/>
        <v>1</v>
      </c>
      <c r="U70" s="35">
        <v>1</v>
      </c>
    </row>
    <row r="71" spans="1:98" ht="13.05" customHeight="1">
      <c r="A71" s="30"/>
      <c r="B71" s="121" t="s">
        <v>295</v>
      </c>
      <c r="C71" s="24" t="s">
        <v>125</v>
      </c>
      <c r="D71" s="24" t="s">
        <v>123</v>
      </c>
      <c r="F71" s="224">
        <f>'DCF - Financials'!F117/F43</f>
        <v>4.1321402697251444E-2</v>
      </c>
      <c r="G71" s="224">
        <f>'DCF - Financials'!G117/G43</f>
        <v>5.2366638037980716E-2</v>
      </c>
      <c r="H71" s="224">
        <f>'DCF - Financials'!H117/H43</f>
        <v>5.4588361013402198E-2</v>
      </c>
      <c r="I71" s="224">
        <f>'DCF - Financials'!I117/I43</f>
        <v>5.9710803645032638E-2</v>
      </c>
      <c r="J71" s="224">
        <f>'DCF - Financials'!J117/J43</f>
        <v>5.3418367346938778E-2</v>
      </c>
      <c r="K71" s="200"/>
      <c r="L71" s="200"/>
      <c r="M71" s="200"/>
      <c r="N71" s="200"/>
      <c r="O71" s="200"/>
      <c r="P71" s="200"/>
      <c r="Q71" s="200"/>
      <c r="R71" s="200"/>
      <c r="S71" s="189"/>
      <c r="T71" s="188">
        <f t="shared" si="0"/>
        <v>1</v>
      </c>
      <c r="U71" s="35">
        <v>1</v>
      </c>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row>
    <row r="72" spans="1:98" ht="13.05" customHeight="1">
      <c r="A72" s="30"/>
      <c r="B72" s="85" t="s">
        <v>140</v>
      </c>
      <c r="C72" s="4" t="s">
        <v>125</v>
      </c>
      <c r="D72" s="4" t="s">
        <v>123</v>
      </c>
      <c r="E72" s="4"/>
      <c r="F72" s="222">
        <f>'DCF - Financials'!F118/'DCF - Assumptions'!F52</f>
        <v>0.34864698862954968</v>
      </c>
      <c r="G72" s="222">
        <f>'DCF - Financials'!G118/'DCF - Assumptions'!G52</f>
        <v>0.37809820732657834</v>
      </c>
      <c r="H72" s="222">
        <f>'DCF - Financials'!H118/'DCF - Assumptions'!H52</f>
        <v>0.31877820201318985</v>
      </c>
      <c r="I72" s="222">
        <f>'DCF - Financials'!I118/'DCF - Assumptions'!I52</f>
        <v>0.33378339965889708</v>
      </c>
      <c r="J72" s="222">
        <f>'DCF - Financials'!J118/'DCF - Assumptions'!J52</f>
        <v>0.33256009081486598</v>
      </c>
      <c r="K72" s="200"/>
      <c r="L72" s="200"/>
      <c r="M72" s="200"/>
      <c r="N72" s="200"/>
      <c r="O72" s="200"/>
      <c r="P72" s="200"/>
      <c r="Q72" s="200"/>
      <c r="R72" s="200"/>
      <c r="S72" s="189"/>
      <c r="T72" s="188">
        <f t="shared" ref="T72:T98" si="6">IF(NOT(ISBLANK(B72)), 1, 0)</f>
        <v>1</v>
      </c>
      <c r="U72" s="35">
        <v>1</v>
      </c>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row>
    <row r="73" spans="1:98" ht="13.05" customHeight="1">
      <c r="A73" s="30"/>
      <c r="B73" s="85" t="s">
        <v>139</v>
      </c>
      <c r="C73" s="4" t="s">
        <v>125</v>
      </c>
      <c r="D73" s="4" t="s">
        <v>123</v>
      </c>
      <c r="E73" s="4"/>
      <c r="F73" s="222">
        <f>'DCF - Financials'!F119/'DCF - Assumptions'!F43</f>
        <v>5.4471013223264995E-2</v>
      </c>
      <c r="G73" s="222">
        <f>'DCF - Financials'!G119/'DCF - Assumptions'!G43</f>
        <v>6.5869834907911054E-2</v>
      </c>
      <c r="H73" s="222">
        <f>'DCF - Financials'!H119/'DCF - Assumptions'!H43</f>
        <v>3.3193819849503536E-2</v>
      </c>
      <c r="I73" s="222">
        <f>'DCF - Financials'!I119/'DCF - Assumptions'!I43</f>
        <v>2.9409798810239956E-2</v>
      </c>
      <c r="J73" s="222">
        <f>'DCF - Financials'!J119/'DCF - Assumptions'!J43</f>
        <v>3.3112244897959185E-2</v>
      </c>
      <c r="K73" s="200"/>
      <c r="L73" s="200"/>
      <c r="M73" s="200"/>
      <c r="N73" s="200"/>
      <c r="O73" s="200"/>
      <c r="P73" s="200"/>
      <c r="Q73" s="200"/>
      <c r="R73" s="200"/>
      <c r="S73" s="189"/>
      <c r="T73" s="188">
        <f t="shared" si="6"/>
        <v>1</v>
      </c>
      <c r="U73" s="35">
        <v>1</v>
      </c>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row>
    <row r="74" spans="1:98" ht="13.05" customHeight="1">
      <c r="A74" s="30"/>
      <c r="B74" s="85" t="s">
        <v>79</v>
      </c>
      <c r="C74" s="4" t="s">
        <v>125</v>
      </c>
      <c r="D74" s="4" t="s">
        <v>123</v>
      </c>
      <c r="E74" s="4"/>
      <c r="F74" s="222">
        <f>'DCF - Financials'!F127/'DCF - Assumptions'!F43</f>
        <v>2.6361640089334129E-2</v>
      </c>
      <c r="G74" s="222">
        <f>'DCF - Financials'!G127/'DCF - Assumptions'!G43</f>
        <v>2.6696249642141425E-2</v>
      </c>
      <c r="H74" s="222">
        <f>'DCF - Financials'!H127/'DCF - Assumptions'!H43</f>
        <v>3.1991629190970206E-2</v>
      </c>
      <c r="I74" s="222">
        <f>'DCF - Financials'!I127/'DCF - Assumptions'!I43</f>
        <v>2.6736180736581776E-2</v>
      </c>
      <c r="J74" s="222">
        <f>'DCF - Financials'!J127/'DCF - Assumptions'!J43</f>
        <v>2.0204081632653061E-2</v>
      </c>
      <c r="K74" s="200"/>
      <c r="L74" s="200"/>
      <c r="M74" s="200"/>
      <c r="N74" s="200"/>
      <c r="O74" s="200"/>
      <c r="P74" s="200"/>
      <c r="Q74" s="200"/>
      <c r="R74" s="200"/>
      <c r="S74" s="189"/>
      <c r="T74" s="188">
        <f t="shared" si="6"/>
        <v>1</v>
      </c>
      <c r="U74" s="35">
        <v>1</v>
      </c>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row>
    <row r="75" spans="1:98" ht="13.05" customHeight="1">
      <c r="A75" s="30"/>
      <c r="B75" s="85" t="s">
        <v>76</v>
      </c>
      <c r="C75" s="4" t="s">
        <v>125</v>
      </c>
      <c r="D75" s="4" t="s">
        <v>123</v>
      </c>
      <c r="E75" s="4"/>
      <c r="F75" s="222">
        <f>'DCF - Financials'!F131/'DCF - Assumptions'!F52</f>
        <v>0.10197029941103705</v>
      </c>
      <c r="G75" s="222">
        <f>'DCF - Financials'!G131/'DCF - Assumptions'!G52</f>
        <v>0.17365549493374904</v>
      </c>
      <c r="H75" s="222">
        <f>'DCF - Financials'!H131/'DCF - Assumptions'!H52</f>
        <v>0.12960777507809787</v>
      </c>
      <c r="I75" s="222">
        <f>'DCF - Financials'!I131/'DCF - Assumptions'!I52</f>
        <v>0.13828880045480385</v>
      </c>
      <c r="J75" s="222">
        <f>'DCF - Financials'!J131/'DCF - Assumptions'!J52</f>
        <v>0.13044765806228717</v>
      </c>
      <c r="K75" s="200"/>
      <c r="L75" s="200"/>
      <c r="M75" s="200"/>
      <c r="N75" s="200"/>
      <c r="O75" s="200"/>
      <c r="P75" s="200"/>
      <c r="Q75" s="200"/>
      <c r="R75" s="200"/>
      <c r="S75" s="189"/>
      <c r="T75" s="188">
        <f t="shared" si="6"/>
        <v>1</v>
      </c>
      <c r="U75" s="35">
        <v>1</v>
      </c>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row>
    <row r="76" spans="1:98" ht="13.05" customHeight="1">
      <c r="A76" s="30"/>
      <c r="B76" s="121" t="s">
        <v>300</v>
      </c>
      <c r="C76" s="4" t="s">
        <v>125</v>
      </c>
      <c r="D76" s="4" t="s">
        <v>123</v>
      </c>
      <c r="E76" s="4"/>
      <c r="F76" s="222">
        <f>'DCF - Financials'!F132/'DCF - Assumptions'!F52</f>
        <v>0.34367767579275454</v>
      </c>
      <c r="G76" s="222">
        <f>'DCF - Financials'!G132/'DCF - Assumptions'!G52</f>
        <v>0.46812159002338272</v>
      </c>
      <c r="H76" s="222">
        <f>'DCF - Financials'!H132/'DCF - Assumptions'!H52</f>
        <v>0.43387712599791739</v>
      </c>
      <c r="I76" s="222">
        <f>'DCF - Financials'!I132/'DCF - Assumptions'!I52</f>
        <v>0.39738487777146109</v>
      </c>
      <c r="J76" s="222">
        <f>'DCF - Financials'!J132/'DCF - Assumptions'!J52</f>
        <v>0.3322639553822615</v>
      </c>
      <c r="K76" s="200"/>
      <c r="L76" s="200"/>
      <c r="M76" s="200"/>
      <c r="N76" s="200"/>
      <c r="O76" s="200"/>
      <c r="P76" s="200"/>
      <c r="Q76" s="200"/>
      <c r="R76" s="200"/>
      <c r="S76" s="189"/>
      <c r="T76" s="188">
        <f t="shared" si="6"/>
        <v>1</v>
      </c>
      <c r="U76" s="35">
        <v>1</v>
      </c>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row>
    <row r="77" spans="1:98" ht="13.05" customHeight="1">
      <c r="A77" s="30"/>
      <c r="B77" s="121" t="s">
        <v>72</v>
      </c>
      <c r="C77" s="4" t="s">
        <v>125</v>
      </c>
      <c r="D77" s="4" t="s">
        <v>123</v>
      </c>
      <c r="E77" s="4"/>
      <c r="F77" s="222">
        <f>-'DCF - Financials'!F139/'DCF - Financials'!F17</f>
        <v>0.28450972428264654</v>
      </c>
      <c r="G77" s="222">
        <f>-'DCF - Financials'!G139/'DCF - Financials'!G17</f>
        <v>0.36102883865939206</v>
      </c>
      <c r="H77" s="222">
        <f>-'DCF - Financials'!H139/'DCF - Financials'!H17</f>
        <v>0.36230475529330092</v>
      </c>
      <c r="I77" s="222">
        <f>-'DCF - Financials'!I139/'DCF - Financials'!I17</f>
        <v>0.30777430358158048</v>
      </c>
      <c r="J77" s="222">
        <f>-'DCF - Financials'!J139/'DCF - Financials'!J17</f>
        <v>0.23049207837717783</v>
      </c>
      <c r="K77" s="200"/>
      <c r="L77" s="200"/>
      <c r="M77" s="200"/>
      <c r="N77" s="200"/>
      <c r="O77" s="200"/>
      <c r="P77" s="200"/>
      <c r="Q77" s="200"/>
      <c r="R77" s="200"/>
      <c r="S77" s="189"/>
      <c r="T77" s="188">
        <f t="shared" si="6"/>
        <v>1</v>
      </c>
      <c r="U77" s="35">
        <v>1</v>
      </c>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4"/>
      <c r="CD77" s="24"/>
      <c r="CE77" s="24"/>
      <c r="CF77" s="24"/>
      <c r="CG77" s="24"/>
      <c r="CH77" s="24"/>
      <c r="CI77" s="24"/>
      <c r="CJ77" s="24"/>
      <c r="CK77" s="24"/>
      <c r="CL77" s="24"/>
      <c r="CM77" s="24"/>
      <c r="CN77" s="24"/>
      <c r="CO77" s="24"/>
      <c r="CP77" s="24"/>
      <c r="CQ77" s="24"/>
      <c r="CR77" s="24"/>
      <c r="CS77" s="24"/>
      <c r="CT77" s="24"/>
    </row>
    <row r="78" spans="1:98" ht="13.05" customHeight="1">
      <c r="A78" s="30"/>
      <c r="B78" s="223" t="s">
        <v>138</v>
      </c>
      <c r="C78" s="43" t="s">
        <v>129</v>
      </c>
      <c r="D78" s="43" t="s">
        <v>128</v>
      </c>
      <c r="E78" s="74"/>
      <c r="F78" s="207">
        <f>'DCF - Financials'!F120-'DCF - Financials'!F133</f>
        <v>1182.5999999999999</v>
      </c>
      <c r="G78" s="207">
        <f>'DCF - Financials'!G120-'DCF - Financials'!G133</f>
        <v>1683.1</v>
      </c>
      <c r="H78" s="207">
        <f>'DCF - Financials'!H120-'DCF - Financials'!H133</f>
        <v>1361.2</v>
      </c>
      <c r="I78" s="207">
        <f>'DCF - Financials'!I120-'DCF - Financials'!I133</f>
        <v>3199.4999999999995</v>
      </c>
      <c r="J78" s="207">
        <f>'DCF - Financials'!J120-'DCF - Financials'!J133</f>
        <v>1495.0999999999995</v>
      </c>
      <c r="K78" s="206"/>
      <c r="L78" s="206"/>
      <c r="M78" s="206"/>
      <c r="N78" s="206"/>
      <c r="O78" s="206"/>
      <c r="P78" s="206"/>
      <c r="Q78" s="206"/>
      <c r="R78" s="206"/>
      <c r="S78" s="189"/>
      <c r="T78" s="188">
        <f t="shared" si="6"/>
        <v>1</v>
      </c>
      <c r="U78" s="35">
        <v>1</v>
      </c>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c r="CA78" s="24"/>
      <c r="CB78" s="24"/>
      <c r="CC78" s="24"/>
      <c r="CD78" s="24"/>
      <c r="CE78" s="24"/>
      <c r="CF78" s="24"/>
      <c r="CG78" s="24"/>
      <c r="CH78" s="24"/>
      <c r="CI78" s="24"/>
      <c r="CJ78" s="24"/>
      <c r="CK78" s="24"/>
      <c r="CL78" s="24"/>
      <c r="CM78" s="24"/>
      <c r="CN78" s="24"/>
      <c r="CO78" s="24"/>
      <c r="CP78" s="24"/>
      <c r="CQ78" s="24"/>
      <c r="CR78" s="24"/>
      <c r="CS78" s="24"/>
      <c r="CT78" s="24"/>
    </row>
    <row r="79" spans="1:98" ht="13.05" customHeight="1">
      <c r="A79" s="30"/>
      <c r="B79" s="186" t="s">
        <v>137</v>
      </c>
      <c r="C79" s="24" t="s">
        <v>125</v>
      </c>
      <c r="D79" s="24" t="s">
        <v>128</v>
      </c>
      <c r="E79" s="29"/>
      <c r="F79" s="222">
        <f>F78/F43</f>
        <v>0.24605584506429784</v>
      </c>
      <c r="G79" s="222">
        <f>G78/G43</f>
        <v>0.40154117759328173</v>
      </c>
      <c r="H79" s="222">
        <f>H78/H43</f>
        <v>0.30304109711028987</v>
      </c>
      <c r="I79" s="222">
        <f>I78/I43</f>
        <v>0.71285341888911158</v>
      </c>
      <c r="J79" s="222">
        <f>J78/J43</f>
        <v>0.25426870748299313</v>
      </c>
      <c r="K79" s="221"/>
      <c r="L79" s="221"/>
      <c r="M79" s="221"/>
      <c r="N79" s="221"/>
      <c r="O79" s="221"/>
      <c r="P79" s="221"/>
      <c r="Q79" s="221"/>
      <c r="R79" s="221"/>
      <c r="S79" s="189"/>
      <c r="T79" s="188">
        <f t="shared" si="6"/>
        <v>1</v>
      </c>
      <c r="U79" s="35">
        <v>1</v>
      </c>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c r="BY79" s="24"/>
      <c r="BZ79" s="24"/>
      <c r="CA79" s="24"/>
      <c r="CB79" s="24"/>
      <c r="CC79" s="24"/>
      <c r="CD79" s="24"/>
      <c r="CE79" s="24"/>
      <c r="CF79" s="24"/>
      <c r="CG79" s="24"/>
      <c r="CH79" s="24"/>
      <c r="CI79" s="24"/>
      <c r="CJ79" s="24"/>
      <c r="CK79" s="24"/>
      <c r="CL79" s="24"/>
      <c r="CM79" s="24"/>
      <c r="CN79" s="24"/>
      <c r="CO79" s="24"/>
      <c r="CP79" s="24"/>
      <c r="CQ79" s="24"/>
      <c r="CR79" s="24"/>
      <c r="CS79" s="24"/>
      <c r="CT79" s="24"/>
    </row>
    <row r="80" spans="1:98" ht="13.05" customHeight="1">
      <c r="A80" s="30"/>
      <c r="B80" s="186" t="s">
        <v>621</v>
      </c>
      <c r="C80" s="4" t="s">
        <v>129</v>
      </c>
      <c r="D80" s="4" t="s">
        <v>128</v>
      </c>
      <c r="F80" s="164">
        <f>'DCF - Financials'!F71</f>
        <v>-162.4</v>
      </c>
      <c r="G80" s="164">
        <f>'DCF - Financials'!G71</f>
        <v>169</v>
      </c>
      <c r="H80" s="164">
        <f>'DCF - Financials'!H71</f>
        <v>37.300000000000004</v>
      </c>
      <c r="I80" s="164">
        <f>'DCF - Financials'!I71</f>
        <v>-96.5</v>
      </c>
      <c r="J80" s="164">
        <f>'DCF - Financials'!J71</f>
        <v>169.2</v>
      </c>
      <c r="K80" s="164">
        <f>'DCF - Financials'!K71</f>
        <v>0</v>
      </c>
      <c r="L80" s="164">
        <f>'DCF - Financials'!L71</f>
        <v>0</v>
      </c>
      <c r="M80" s="164">
        <f>'DCF - Financials'!M71</f>
        <v>0</v>
      </c>
      <c r="N80" s="164">
        <f>'DCF - Financials'!N71</f>
        <v>0</v>
      </c>
      <c r="O80" s="164">
        <f>'DCF - Financials'!O71</f>
        <v>0</v>
      </c>
      <c r="P80" s="164">
        <f>'DCF - Financials'!P71</f>
        <v>0</v>
      </c>
      <c r="Q80" s="164">
        <f>'DCF - Financials'!Q71</f>
        <v>0</v>
      </c>
      <c r="R80" s="164">
        <f>'DCF - Financials'!R71</f>
        <v>0</v>
      </c>
      <c r="S80" s="189"/>
      <c r="T80" s="188">
        <f t="shared" si="6"/>
        <v>1</v>
      </c>
      <c r="U80" s="35">
        <v>1</v>
      </c>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24"/>
      <c r="CS80" s="24"/>
      <c r="CT80" s="24"/>
    </row>
    <row r="81" spans="1:98" ht="13.05" customHeight="1" thickBot="1">
      <c r="A81" s="30"/>
      <c r="B81" s="219" t="s">
        <v>136</v>
      </c>
      <c r="C81" s="94"/>
      <c r="D81" s="94"/>
      <c r="E81" s="94"/>
      <c r="F81" s="203"/>
      <c r="G81" s="203"/>
      <c r="H81" s="203"/>
      <c r="I81" s="203"/>
      <c r="J81" s="203"/>
      <c r="K81" s="94"/>
      <c r="L81" s="94"/>
      <c r="M81" s="94"/>
      <c r="N81" s="94"/>
      <c r="O81" s="94"/>
      <c r="P81" s="94"/>
      <c r="Q81" s="94"/>
      <c r="R81" s="94"/>
      <c r="S81" s="189"/>
      <c r="T81" s="188">
        <f t="shared" si="6"/>
        <v>1</v>
      </c>
      <c r="U81" s="35">
        <v>1</v>
      </c>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24"/>
      <c r="CS81" s="24"/>
      <c r="CT81" s="24"/>
    </row>
    <row r="82" spans="1:98" ht="13.05" customHeight="1">
      <c r="A82" s="30"/>
      <c r="B82" s="169" t="s">
        <v>336</v>
      </c>
      <c r="C82" s="4" t="s">
        <v>125</v>
      </c>
      <c r="D82" s="24" t="s">
        <v>134</v>
      </c>
      <c r="E82" s="4"/>
      <c r="F82" s="216">
        <f>F89/F43</f>
        <v>4.5690735308743284E-2</v>
      </c>
      <c r="G82" s="216">
        <f>G89/G43</f>
        <v>4.7547475904189326E-2</v>
      </c>
      <c r="H82" s="216">
        <f>H89/H43</f>
        <v>8.8249699452335365E-2</v>
      </c>
      <c r="I82" s="216">
        <f>I89/I43</f>
        <v>6.3075106387719182E-2</v>
      </c>
      <c r="J82" s="216">
        <f>J89/J43</f>
        <v>4.5476190476190476E-2</v>
      </c>
      <c r="K82" s="265">
        <v>0</v>
      </c>
      <c r="L82" s="265">
        <v>0</v>
      </c>
      <c r="M82" s="265">
        <v>0</v>
      </c>
      <c r="N82" s="265">
        <v>0</v>
      </c>
      <c r="O82" s="265">
        <v>0</v>
      </c>
      <c r="P82" s="265">
        <v>0</v>
      </c>
      <c r="Q82" s="265">
        <v>0</v>
      </c>
      <c r="R82" s="265">
        <v>0</v>
      </c>
      <c r="S82" s="189"/>
      <c r="T82" s="188">
        <f t="shared" si="6"/>
        <v>1</v>
      </c>
      <c r="U82" s="35">
        <v>1</v>
      </c>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row>
    <row r="83" spans="1:98" ht="13.05" customHeight="1">
      <c r="A83" s="30"/>
      <c r="B83" s="169" t="s">
        <v>135</v>
      </c>
      <c r="C83" s="4" t="s">
        <v>125</v>
      </c>
      <c r="D83" s="24" t="s">
        <v>134</v>
      </c>
      <c r="E83" s="4"/>
      <c r="F83" s="216">
        <f>-F88/F87</f>
        <v>0.27702208571010678</v>
      </c>
      <c r="G83" s="216">
        <f>-G88/G87</f>
        <v>0.26866507914273713</v>
      </c>
      <c r="H83" s="216">
        <f>-H88/H87</f>
        <v>0.28746928746928746</v>
      </c>
      <c r="I83" s="216">
        <f>-I88/I87</f>
        <v>0.23143012506797173</v>
      </c>
      <c r="J83" s="216">
        <f>-J88/J87</f>
        <v>0.37648249927682964</v>
      </c>
      <c r="K83" s="265">
        <v>0</v>
      </c>
      <c r="L83" s="265">
        <v>0</v>
      </c>
      <c r="M83" s="265">
        <v>0</v>
      </c>
      <c r="N83" s="265">
        <v>0</v>
      </c>
      <c r="O83" s="265">
        <v>0</v>
      </c>
      <c r="P83" s="265">
        <v>0</v>
      </c>
      <c r="Q83" s="265">
        <v>0</v>
      </c>
      <c r="R83" s="265">
        <v>0</v>
      </c>
      <c r="S83" s="189"/>
      <c r="T83" s="188">
        <f t="shared" si="6"/>
        <v>1</v>
      </c>
      <c r="U83" s="35">
        <v>1</v>
      </c>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row>
    <row r="84" spans="1:98" ht="13.05" customHeight="1">
      <c r="A84" s="30"/>
      <c r="B84" s="169" t="s">
        <v>337</v>
      </c>
      <c r="C84" s="4" t="s">
        <v>125</v>
      </c>
      <c r="D84" s="24" t="s">
        <v>134</v>
      </c>
      <c r="E84" s="4"/>
      <c r="F84" s="216">
        <f>-F88/F43</f>
        <v>3.9407218886502636E-2</v>
      </c>
      <c r="G84" s="216">
        <f>-G88/G43</f>
        <v>4.575818303273213E-2</v>
      </c>
      <c r="H84" s="216">
        <f>-H88/H43</f>
        <v>4.6885435682799764E-2</v>
      </c>
      <c r="I84" s="216">
        <f>-I88/I43</f>
        <v>4.7412160506205024E-2</v>
      </c>
      <c r="J84" s="216">
        <f>-J88/J43</f>
        <v>4.4268707482993198E-2</v>
      </c>
      <c r="K84" s="218"/>
      <c r="L84" s="218"/>
      <c r="M84" s="218"/>
      <c r="N84" s="218"/>
      <c r="O84" s="218"/>
      <c r="P84" s="218"/>
      <c r="Q84" s="218"/>
      <c r="R84" s="218"/>
      <c r="S84" s="189"/>
      <c r="T84" s="188">
        <f t="shared" si="6"/>
        <v>1</v>
      </c>
      <c r="U84" s="35">
        <v>1</v>
      </c>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24"/>
      <c r="CT84" s="24"/>
    </row>
    <row r="85" spans="1:98" ht="13.05" customHeight="1">
      <c r="A85" s="30"/>
      <c r="B85" s="169" t="s">
        <v>620</v>
      </c>
      <c r="C85" s="4" t="s">
        <v>125</v>
      </c>
      <c r="D85" s="24" t="s">
        <v>134</v>
      </c>
      <c r="E85" s="4"/>
      <c r="F85" s="216">
        <v>0</v>
      </c>
      <c r="G85" s="216">
        <v>0</v>
      </c>
      <c r="H85" s="216">
        <v>0</v>
      </c>
      <c r="I85" s="216">
        <v>0</v>
      </c>
      <c r="J85" s="216">
        <v>0</v>
      </c>
      <c r="K85" s="218"/>
      <c r="L85" s="218"/>
      <c r="M85" s="218"/>
      <c r="N85" s="218"/>
      <c r="O85" s="218"/>
      <c r="P85" s="218"/>
      <c r="Q85" s="218"/>
      <c r="R85" s="218"/>
      <c r="S85" s="189"/>
      <c r="T85" s="188">
        <f t="shared" si="6"/>
        <v>1</v>
      </c>
      <c r="U85" s="35">
        <v>1</v>
      </c>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24"/>
      <c r="CN85" s="24"/>
      <c r="CO85" s="24"/>
      <c r="CP85" s="24"/>
      <c r="CQ85" s="24"/>
      <c r="CR85" s="24"/>
      <c r="CS85" s="24"/>
      <c r="CT85" s="24"/>
    </row>
    <row r="86" spans="1:98" ht="13.05" customHeight="1">
      <c r="A86" s="30"/>
      <c r="B86" s="217"/>
      <c r="C86" s="62"/>
      <c r="D86" s="62"/>
      <c r="E86" s="62"/>
      <c r="F86" s="216"/>
      <c r="G86" s="216"/>
      <c r="H86" s="216"/>
      <c r="I86" s="216"/>
      <c r="J86" s="216"/>
      <c r="K86" s="215"/>
      <c r="L86" s="215"/>
      <c r="M86" s="215"/>
      <c r="N86" s="215"/>
      <c r="O86" s="215"/>
      <c r="P86" s="215"/>
      <c r="Q86" s="215"/>
      <c r="R86" s="215"/>
      <c r="S86" s="189"/>
      <c r="T86" s="188">
        <f t="shared" si="6"/>
        <v>0</v>
      </c>
      <c r="U86" s="35">
        <v>0</v>
      </c>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4"/>
      <c r="CP86" s="24"/>
      <c r="CQ86" s="24"/>
      <c r="CR86" s="24"/>
      <c r="CS86" s="24"/>
      <c r="CT86" s="24"/>
    </row>
    <row r="87" spans="1:98" s="62" customFormat="1" ht="13.05" customHeight="1">
      <c r="A87" s="30"/>
      <c r="B87" s="214" t="s">
        <v>133</v>
      </c>
      <c r="C87" s="96" t="s">
        <v>129</v>
      </c>
      <c r="D87" s="96" t="s">
        <v>128</v>
      </c>
      <c r="E87" s="96"/>
      <c r="F87" s="213">
        <f>F91-F89-F88</f>
        <v>683.69999999999993</v>
      </c>
      <c r="G87" s="213">
        <f t="shared" ref="G87:J87" si="7">F91</f>
        <v>713.9</v>
      </c>
      <c r="H87" s="213">
        <f t="shared" si="7"/>
        <v>732.6</v>
      </c>
      <c r="I87" s="213">
        <f t="shared" si="7"/>
        <v>919.5</v>
      </c>
      <c r="J87" s="213">
        <f t="shared" si="7"/>
        <v>691.4</v>
      </c>
      <c r="K87" s="212"/>
      <c r="L87" s="212"/>
      <c r="M87" s="212"/>
      <c r="N87" s="212"/>
      <c r="O87" s="212"/>
      <c r="P87" s="212"/>
      <c r="Q87" s="212"/>
      <c r="R87" s="212"/>
      <c r="S87" s="189"/>
      <c r="T87" s="188">
        <f t="shared" si="6"/>
        <v>1</v>
      </c>
      <c r="U87" s="35">
        <v>1</v>
      </c>
    </row>
    <row r="88" spans="1:98" ht="13.05" customHeight="1">
      <c r="A88" s="30"/>
      <c r="B88" s="208" t="s">
        <v>132</v>
      </c>
      <c r="C88" s="43" t="s">
        <v>129</v>
      </c>
      <c r="D88" s="43" t="s">
        <v>128</v>
      </c>
      <c r="E88" s="43"/>
      <c r="F88" s="207">
        <f>-'DCF - Financials'!F56</f>
        <v>-189.4</v>
      </c>
      <c r="G88" s="207">
        <f>-'DCF - Financials'!G56</f>
        <v>-191.8</v>
      </c>
      <c r="H88" s="207">
        <f>-'DCF - Financials'!H56</f>
        <v>-210.6</v>
      </c>
      <c r="I88" s="207">
        <f>-'DCF - Financials'!I56</f>
        <v>-212.8</v>
      </c>
      <c r="J88" s="207">
        <f>-'DCF - Financials'!J56</f>
        <v>-260.3</v>
      </c>
      <c r="K88" s="206"/>
      <c r="L88" s="206"/>
      <c r="M88" s="206"/>
      <c r="N88" s="206"/>
      <c r="O88" s="206"/>
      <c r="P88" s="206"/>
      <c r="Q88" s="206"/>
      <c r="R88" s="206"/>
      <c r="S88" s="189"/>
      <c r="T88" s="188">
        <f t="shared" si="6"/>
        <v>1</v>
      </c>
      <c r="U88" s="35">
        <v>1</v>
      </c>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c r="BY88" s="24"/>
      <c r="BZ88" s="24"/>
      <c r="CA88" s="24"/>
      <c r="CB88" s="24"/>
      <c r="CC88" s="24"/>
      <c r="CD88" s="24"/>
      <c r="CE88" s="24"/>
      <c r="CF88" s="24"/>
      <c r="CG88" s="24"/>
      <c r="CH88" s="24"/>
      <c r="CI88" s="24"/>
      <c r="CJ88" s="24"/>
      <c r="CK88" s="24"/>
      <c r="CL88" s="24"/>
      <c r="CM88" s="24"/>
      <c r="CN88" s="24"/>
      <c r="CO88" s="24"/>
      <c r="CP88" s="24"/>
      <c r="CQ88" s="24"/>
      <c r="CR88" s="24"/>
      <c r="CS88" s="24"/>
      <c r="CT88" s="24"/>
    </row>
    <row r="89" spans="1:98" ht="13.05" customHeight="1">
      <c r="A89" s="30"/>
      <c r="B89" s="169" t="s">
        <v>100</v>
      </c>
      <c r="C89" s="4" t="s">
        <v>129</v>
      </c>
      <c r="D89" s="4" t="s">
        <v>123</v>
      </c>
      <c r="E89" s="4"/>
      <c r="F89" s="199">
        <f>-'DCF - Financials'!F76</f>
        <v>219.6</v>
      </c>
      <c r="G89" s="199">
        <f>-'DCF - Financials'!G76</f>
        <v>199.3</v>
      </c>
      <c r="H89" s="199">
        <f>-'DCF - Financials'!H76</f>
        <v>396.4</v>
      </c>
      <c r="I89" s="199">
        <f>-'DCF - Financials'!I76</f>
        <v>283.10000000000002</v>
      </c>
      <c r="J89" s="199">
        <f>-'DCF - Financials'!J76</f>
        <v>267.39999999999998</v>
      </c>
      <c r="K89" s="210"/>
      <c r="L89" s="210"/>
      <c r="M89" s="210"/>
      <c r="N89" s="210"/>
      <c r="O89" s="210"/>
      <c r="P89" s="210"/>
      <c r="Q89" s="210"/>
      <c r="R89" s="210"/>
      <c r="S89" s="189"/>
      <c r="T89" s="188">
        <f t="shared" si="6"/>
        <v>1</v>
      </c>
      <c r="U89" s="35">
        <v>1</v>
      </c>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c r="CA89" s="24"/>
      <c r="CB89" s="24"/>
      <c r="CC89" s="24"/>
      <c r="CD89" s="24"/>
      <c r="CE89" s="24"/>
      <c r="CF89" s="24"/>
      <c r="CG89" s="24"/>
      <c r="CH89" s="24"/>
      <c r="CI89" s="24"/>
      <c r="CJ89" s="24"/>
      <c r="CK89" s="24"/>
      <c r="CL89" s="24"/>
      <c r="CM89" s="24"/>
      <c r="CN89" s="24"/>
      <c r="CO89" s="24"/>
      <c r="CP89" s="24"/>
      <c r="CQ89" s="24"/>
      <c r="CR89" s="24"/>
      <c r="CS89" s="24"/>
      <c r="CT89" s="24"/>
    </row>
    <row r="90" spans="1:98" ht="13.05" customHeight="1">
      <c r="A90" s="30"/>
      <c r="B90" s="169" t="s">
        <v>131</v>
      </c>
      <c r="C90" s="4" t="s">
        <v>129</v>
      </c>
      <c r="D90" s="96" t="s">
        <v>128</v>
      </c>
      <c r="E90" s="4"/>
      <c r="F90" s="199">
        <v>0</v>
      </c>
      <c r="G90" s="199">
        <f>G91-SUM(G87:G89)</f>
        <v>11.200000000000159</v>
      </c>
      <c r="H90" s="199">
        <f t="shared" ref="H90:J90" si="8">H91-SUM(H87:H89)</f>
        <v>1.1000000000000227</v>
      </c>
      <c r="I90" s="199">
        <f t="shared" si="8"/>
        <v>-298.40000000000009</v>
      </c>
      <c r="J90" s="199">
        <f t="shared" si="8"/>
        <v>186.89999999999998</v>
      </c>
      <c r="K90" s="209">
        <v>0</v>
      </c>
      <c r="L90" s="209">
        <v>0</v>
      </c>
      <c r="M90" s="209">
        <v>0</v>
      </c>
      <c r="N90" s="209">
        <v>0</v>
      </c>
      <c r="O90" s="209">
        <v>0</v>
      </c>
      <c r="P90" s="209">
        <v>0</v>
      </c>
      <c r="Q90" s="209">
        <v>0</v>
      </c>
      <c r="R90" s="209">
        <v>0</v>
      </c>
      <c r="S90" s="189"/>
      <c r="T90" s="188">
        <f t="shared" si="6"/>
        <v>1</v>
      </c>
      <c r="U90" s="35">
        <v>1</v>
      </c>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row>
    <row r="91" spans="1:98" ht="13.05" customHeight="1">
      <c r="A91" s="30"/>
      <c r="B91" s="208" t="s">
        <v>130</v>
      </c>
      <c r="C91" s="43" t="s">
        <v>129</v>
      </c>
      <c r="D91" s="43" t="s">
        <v>128</v>
      </c>
      <c r="E91" s="43"/>
      <c r="F91" s="207">
        <f>'DCF - Financials'!F122</f>
        <v>713.9</v>
      </c>
      <c r="G91" s="207">
        <f>'DCF - Financials'!G122</f>
        <v>732.6</v>
      </c>
      <c r="H91" s="207">
        <f>'DCF - Financials'!H122</f>
        <v>919.5</v>
      </c>
      <c r="I91" s="207">
        <f>'DCF - Financials'!I122</f>
        <v>691.4</v>
      </c>
      <c r="J91" s="207">
        <f>'DCF - Financials'!J122</f>
        <v>885.4</v>
      </c>
      <c r="K91" s="206"/>
      <c r="L91" s="206"/>
      <c r="M91" s="206"/>
      <c r="N91" s="206"/>
      <c r="O91" s="206"/>
      <c r="P91" s="206"/>
      <c r="Q91" s="206"/>
      <c r="R91" s="206"/>
      <c r="S91" s="189"/>
      <c r="T91" s="188">
        <f t="shared" si="6"/>
        <v>1</v>
      </c>
      <c r="U91" s="35">
        <v>1</v>
      </c>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c r="BZ91" s="24"/>
      <c r="CA91" s="24"/>
      <c r="CB91" s="24"/>
      <c r="CC91" s="24"/>
      <c r="CD91" s="24"/>
      <c r="CE91" s="24"/>
      <c r="CF91" s="24"/>
      <c r="CG91" s="24"/>
      <c r="CH91" s="24"/>
      <c r="CI91" s="24"/>
      <c r="CJ91" s="24"/>
      <c r="CK91" s="24"/>
      <c r="CL91" s="24"/>
      <c r="CM91" s="24"/>
      <c r="CN91" s="24"/>
      <c r="CO91" s="24"/>
      <c r="CP91" s="24"/>
      <c r="CQ91" s="24"/>
      <c r="CR91" s="24"/>
      <c r="CS91" s="24"/>
      <c r="CT91" s="24"/>
    </row>
    <row r="92" spans="1:98" s="4" customFormat="1" ht="13.05" customHeight="1">
      <c r="A92" s="30"/>
      <c r="B92" s="24"/>
      <c r="C92" s="24"/>
      <c r="D92" s="24"/>
      <c r="E92" s="24"/>
      <c r="F92" s="205"/>
      <c r="G92" s="205"/>
      <c r="H92" s="205"/>
      <c r="I92" s="205"/>
      <c r="J92" s="205"/>
      <c r="K92" s="205"/>
      <c r="L92" s="97"/>
      <c r="M92" s="97"/>
      <c r="N92" s="97"/>
      <c r="O92" s="97"/>
      <c r="P92" s="97"/>
      <c r="Q92" s="97"/>
      <c r="R92" s="97"/>
      <c r="S92" s="189"/>
      <c r="T92" s="188">
        <f t="shared" si="6"/>
        <v>0</v>
      </c>
      <c r="U92" s="35">
        <v>0</v>
      </c>
    </row>
    <row r="93" spans="1:98" s="4" customFormat="1" ht="13.05" customHeight="1" thickBot="1">
      <c r="A93" s="30"/>
      <c r="B93" s="204" t="s">
        <v>127</v>
      </c>
      <c r="C93" s="94"/>
      <c r="D93" s="94"/>
      <c r="E93" s="94"/>
      <c r="F93" s="203"/>
      <c r="G93" s="203"/>
      <c r="H93" s="203"/>
      <c r="I93" s="203"/>
      <c r="J93" s="203"/>
      <c r="K93" s="94"/>
      <c r="L93" s="94"/>
      <c r="M93" s="94"/>
      <c r="N93" s="94"/>
      <c r="O93" s="94"/>
      <c r="P93" s="94"/>
      <c r="Q93" s="94"/>
      <c r="R93" s="94"/>
      <c r="S93" s="189"/>
      <c r="T93" s="188">
        <f t="shared" si="6"/>
        <v>1</v>
      </c>
      <c r="U93" s="35">
        <v>1</v>
      </c>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c r="BY93" s="24"/>
      <c r="BZ93" s="24"/>
      <c r="CA93" s="24"/>
      <c r="CB93" s="24"/>
      <c r="CC93" s="24"/>
      <c r="CD93" s="24"/>
      <c r="CE93" s="24"/>
      <c r="CF93" s="24"/>
      <c r="CG93" s="24"/>
      <c r="CH93" s="24"/>
      <c r="CI93" s="24"/>
      <c r="CJ93" s="24"/>
      <c r="CK93" s="24"/>
      <c r="CL93" s="24"/>
      <c r="CM93" s="24"/>
      <c r="CN93" s="24"/>
      <c r="CO93" s="24"/>
      <c r="CP93" s="24"/>
      <c r="CQ93" s="24"/>
      <c r="CR93" s="24"/>
      <c r="CS93" s="24"/>
      <c r="CT93" s="24"/>
    </row>
    <row r="94" spans="1:98" ht="13.05" customHeight="1">
      <c r="A94" s="30"/>
      <c r="B94" s="202" t="s">
        <v>126</v>
      </c>
      <c r="C94" s="24" t="s">
        <v>125</v>
      </c>
      <c r="D94" s="24" t="s">
        <v>123</v>
      </c>
      <c r="F94" s="201">
        <f>'DCF - Financials'!F57/'DCF - Assumptions'!F43</f>
        <v>1.7394105062891341E-2</v>
      </c>
      <c r="G94" s="201">
        <f>'DCF - Financials'!G57/'DCF - Assumptions'!G43</f>
        <v>2.254509018036072E-2</v>
      </c>
      <c r="H94" s="201">
        <f>'DCF - Financials'!H57/'DCF - Assumptions'!H43</f>
        <v>2.132775279398014E-2</v>
      </c>
      <c r="I94" s="201">
        <f>'DCF - Financials'!I57/'DCF - Assumptions'!I43</f>
        <v>1.7244836575095245E-2</v>
      </c>
      <c r="J94" s="201">
        <f>'DCF - Financials'!J57/'DCF - Assumptions'!J43</f>
        <v>1.3826530612244897E-2</v>
      </c>
      <c r="K94" s="200"/>
      <c r="L94" s="200"/>
      <c r="M94" s="200"/>
      <c r="N94" s="200"/>
      <c r="O94" s="200"/>
      <c r="P94" s="200"/>
      <c r="Q94" s="200"/>
      <c r="R94" s="200"/>
      <c r="S94" s="189"/>
      <c r="T94" s="188">
        <f t="shared" si="6"/>
        <v>1</v>
      </c>
      <c r="U94" s="35">
        <v>1</v>
      </c>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c r="BY94" s="24"/>
      <c r="BZ94" s="24"/>
      <c r="CA94" s="24"/>
      <c r="CB94" s="24"/>
      <c r="CC94" s="24"/>
      <c r="CD94" s="24"/>
      <c r="CE94" s="24"/>
      <c r="CF94" s="24"/>
      <c r="CG94" s="24"/>
      <c r="CH94" s="24"/>
      <c r="CI94" s="24"/>
      <c r="CJ94" s="24"/>
      <c r="CK94" s="24"/>
      <c r="CL94" s="24"/>
      <c r="CM94" s="24"/>
      <c r="CN94" s="24"/>
      <c r="CO94" s="24"/>
      <c r="CP94" s="24"/>
      <c r="CQ94" s="24"/>
      <c r="CR94" s="24"/>
      <c r="CS94" s="24"/>
      <c r="CT94" s="24"/>
    </row>
    <row r="95" spans="1:98" ht="13.05" customHeight="1">
      <c r="A95" s="30"/>
      <c r="B95" s="202" t="s">
        <v>7</v>
      </c>
      <c r="C95" s="24" t="s">
        <v>125</v>
      </c>
      <c r="D95" s="24" t="s">
        <v>123</v>
      </c>
      <c r="F95" s="201">
        <f>-'DCF - Financials'!F41/'DCF - Financials'!F39</f>
        <v>0.30378033512882552</v>
      </c>
      <c r="G95" s="201">
        <f>-'DCF - Financials'!G41/'DCF - Financials'!G39</f>
        <v>0.3420536298234137</v>
      </c>
      <c r="H95" s="201">
        <f>-'DCF - Financials'!H41/'DCF - Financials'!H39</f>
        <v>0.26508139163740796</v>
      </c>
      <c r="I95" s="201">
        <f>-'DCF - Financials'!I41/'DCF - Financials'!I39</f>
        <v>0.22134387351778656</v>
      </c>
      <c r="J95" s="201">
        <f>-'DCF - Financials'!J41/'DCF - Financials'!J39</f>
        <v>0.33394772117962462</v>
      </c>
      <c r="K95" s="200"/>
      <c r="L95" s="200"/>
      <c r="M95" s="200"/>
      <c r="N95" s="200"/>
      <c r="O95" s="200"/>
      <c r="P95" s="200"/>
      <c r="Q95" s="200"/>
      <c r="R95" s="200"/>
      <c r="S95" s="189"/>
      <c r="T95" s="188">
        <f t="shared" si="6"/>
        <v>1</v>
      </c>
      <c r="U95" s="35">
        <v>1</v>
      </c>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c r="BY95" s="24"/>
      <c r="BZ95" s="24"/>
      <c r="CA95" s="24"/>
      <c r="CB95" s="24"/>
      <c r="CC95" s="24"/>
      <c r="CD95" s="24"/>
      <c r="CE95" s="24"/>
      <c r="CF95" s="24"/>
      <c r="CG95" s="24"/>
      <c r="CH95" s="24"/>
      <c r="CI95" s="24"/>
      <c r="CJ95" s="24"/>
      <c r="CK95" s="24"/>
      <c r="CL95" s="24"/>
      <c r="CM95" s="24"/>
      <c r="CN95" s="24"/>
      <c r="CO95" s="24"/>
      <c r="CP95" s="24"/>
      <c r="CQ95" s="24"/>
      <c r="CR95" s="24"/>
      <c r="CS95" s="24"/>
      <c r="CT95" s="24"/>
    </row>
    <row r="96" spans="1:98" s="1" customFormat="1" ht="13.05" customHeight="1">
      <c r="A96" s="30"/>
      <c r="B96" s="186"/>
      <c r="C96" s="4"/>
      <c r="D96" s="4"/>
      <c r="E96" s="24"/>
      <c r="F96" s="199"/>
      <c r="G96" s="199"/>
      <c r="H96" s="199"/>
      <c r="I96" s="199"/>
      <c r="J96" s="199"/>
      <c r="K96" s="198"/>
      <c r="L96" s="198"/>
      <c r="M96" s="198"/>
      <c r="N96" s="198"/>
      <c r="O96" s="198"/>
      <c r="P96" s="198"/>
      <c r="Q96" s="198"/>
      <c r="R96" s="198"/>
      <c r="S96" s="189"/>
      <c r="T96" s="188">
        <f t="shared" si="6"/>
        <v>0</v>
      </c>
      <c r="U96" s="35">
        <v>0</v>
      </c>
    </row>
    <row r="97" spans="1:258" ht="13.05" customHeight="1">
      <c r="A97" s="30"/>
      <c r="B97" s="197" t="str">
        <f>'DCF - Financials'!B44</f>
        <v>Basic shares outstanding</v>
      </c>
      <c r="C97" s="43" t="s">
        <v>124</v>
      </c>
      <c r="D97" s="43" t="s">
        <v>123</v>
      </c>
      <c r="E97" s="43"/>
      <c r="F97" s="88">
        <f>'DCF - Financials'!F44</f>
        <v>277.79000000000002</v>
      </c>
      <c r="G97" s="88">
        <f>'DCF - Financials'!G44</f>
        <v>275.7</v>
      </c>
      <c r="H97" s="88">
        <f>'DCF - Financials'!H44</f>
        <v>277.60000000000002</v>
      </c>
      <c r="I97" s="88">
        <f>'DCF - Financials'!I44</f>
        <v>280.60000000000002</v>
      </c>
      <c r="J97" s="88">
        <f>'DCF - Financials'!J44</f>
        <v>285.39999999999998</v>
      </c>
      <c r="K97" s="196">
        <f t="shared" ref="K97:R98" si="9">J97</f>
        <v>285.39999999999998</v>
      </c>
      <c r="L97" s="196">
        <f t="shared" si="9"/>
        <v>285.39999999999998</v>
      </c>
      <c r="M97" s="196">
        <f t="shared" si="9"/>
        <v>285.39999999999998</v>
      </c>
      <c r="N97" s="196">
        <f t="shared" si="9"/>
        <v>285.39999999999998</v>
      </c>
      <c r="O97" s="196">
        <f t="shared" si="9"/>
        <v>285.39999999999998</v>
      </c>
      <c r="P97" s="196">
        <f t="shared" si="9"/>
        <v>285.39999999999998</v>
      </c>
      <c r="Q97" s="196">
        <f t="shared" si="9"/>
        <v>285.39999999999998</v>
      </c>
      <c r="R97" s="195">
        <f t="shared" si="9"/>
        <v>285.39999999999998</v>
      </c>
      <c r="S97" s="189"/>
      <c r="T97" s="188">
        <f t="shared" si="6"/>
        <v>1</v>
      </c>
      <c r="U97" s="35">
        <v>1</v>
      </c>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c r="BY97" s="24"/>
      <c r="BZ97" s="24"/>
      <c r="CA97" s="24"/>
      <c r="CB97" s="24"/>
      <c r="CC97" s="24"/>
      <c r="CD97" s="24"/>
      <c r="CE97" s="24"/>
      <c r="CF97" s="24"/>
      <c r="CG97" s="24"/>
      <c r="CH97" s="24"/>
      <c r="CI97" s="24"/>
      <c r="CJ97" s="24"/>
      <c r="CK97" s="24"/>
      <c r="CL97" s="24"/>
      <c r="CM97" s="24"/>
      <c r="CN97" s="24"/>
      <c r="CO97" s="24"/>
      <c r="CP97" s="24"/>
      <c r="CQ97" s="24"/>
      <c r="CR97" s="24"/>
      <c r="CS97" s="24"/>
      <c r="CT97" s="24"/>
    </row>
    <row r="98" spans="1:258" ht="13.05" customHeight="1">
      <c r="A98" s="30"/>
      <c r="B98" s="194" t="str">
        <f>'DCF - Financials'!B45</f>
        <v>Diluted shares outstanding</v>
      </c>
      <c r="C98" s="193" t="s">
        <v>124</v>
      </c>
      <c r="D98" s="193" t="s">
        <v>123</v>
      </c>
      <c r="E98" s="193"/>
      <c r="F98" s="192">
        <f>'DCF - Financials'!F45</f>
        <v>280.37900000000002</v>
      </c>
      <c r="G98" s="192">
        <f>'DCF - Financials'!G45</f>
        <v>277.2</v>
      </c>
      <c r="H98" s="192">
        <f>'DCF - Financials'!H45</f>
        <v>279.3</v>
      </c>
      <c r="I98" s="192">
        <f>'DCF - Financials'!I45</f>
        <v>282.8</v>
      </c>
      <c r="J98" s="192">
        <f>'DCF - Financials'!J45</f>
        <v>288.60000000000002</v>
      </c>
      <c r="K98" s="191">
        <f t="shared" si="9"/>
        <v>288.60000000000002</v>
      </c>
      <c r="L98" s="191">
        <f t="shared" si="9"/>
        <v>288.60000000000002</v>
      </c>
      <c r="M98" s="191">
        <f t="shared" si="9"/>
        <v>288.60000000000002</v>
      </c>
      <c r="N98" s="191">
        <f t="shared" si="9"/>
        <v>288.60000000000002</v>
      </c>
      <c r="O98" s="191">
        <f t="shared" si="9"/>
        <v>288.60000000000002</v>
      </c>
      <c r="P98" s="449">
        <f t="shared" si="9"/>
        <v>288.60000000000002</v>
      </c>
      <c r="Q98" s="191">
        <f t="shared" si="9"/>
        <v>288.60000000000002</v>
      </c>
      <c r="R98" s="190">
        <f t="shared" si="9"/>
        <v>288.60000000000002</v>
      </c>
      <c r="S98" s="189"/>
      <c r="T98" s="188">
        <f t="shared" si="6"/>
        <v>1</v>
      </c>
      <c r="U98" s="35">
        <v>1</v>
      </c>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24"/>
      <c r="BZ98" s="24"/>
      <c r="CA98" s="24"/>
      <c r="CB98" s="24"/>
      <c r="CC98" s="24"/>
      <c r="CD98" s="24"/>
      <c r="CE98" s="24"/>
      <c r="CF98" s="24"/>
      <c r="CG98" s="24"/>
      <c r="CH98" s="24"/>
      <c r="CI98" s="24"/>
      <c r="CJ98" s="24"/>
      <c r="CK98" s="24"/>
      <c r="CL98" s="24"/>
      <c r="CM98" s="24"/>
      <c r="CN98" s="24"/>
      <c r="CO98" s="24"/>
      <c r="CP98" s="24"/>
      <c r="CQ98" s="24"/>
      <c r="CR98" s="24"/>
      <c r="CS98" s="24"/>
      <c r="CT98" s="24"/>
    </row>
    <row r="99" spans="1:258" s="2" customFormat="1" ht="11.25" customHeight="1">
      <c r="A99" s="187"/>
      <c r="B99" s="186"/>
      <c r="C99" s="24"/>
      <c r="D99" s="24"/>
      <c r="E99" s="24"/>
      <c r="F99" s="184"/>
      <c r="G99" s="185"/>
      <c r="H99" s="185"/>
      <c r="I99" s="185"/>
      <c r="J99" s="184"/>
      <c r="K99" s="183"/>
      <c r="L99" s="183"/>
      <c r="M99" s="183"/>
      <c r="N99" s="183"/>
      <c r="O99" s="183"/>
      <c r="P99" s="183"/>
      <c r="Q99" s="183"/>
      <c r="R99" s="183"/>
      <c r="S99"/>
      <c r="T99"/>
      <c r="U99"/>
      <c r="CU99" s="24"/>
      <c r="CV99" s="24"/>
      <c r="CW99" s="24"/>
      <c r="CX99" s="24"/>
      <c r="CY99" s="24"/>
      <c r="CZ99" s="24"/>
      <c r="DA99" s="24"/>
      <c r="DB99" s="24"/>
      <c r="DC99" s="24"/>
      <c r="DD99" s="24"/>
      <c r="DE99" s="24"/>
      <c r="DF99" s="24"/>
      <c r="DG99" s="24"/>
      <c r="DH99" s="24"/>
      <c r="DI99" s="24"/>
      <c r="DJ99" s="24"/>
      <c r="DK99" s="24"/>
      <c r="DL99" s="24"/>
      <c r="DM99" s="24"/>
      <c r="DN99" s="24"/>
      <c r="DO99" s="24"/>
      <c r="DP99" s="24"/>
      <c r="DQ99" s="24"/>
      <c r="DR99" s="24"/>
      <c r="DS99" s="24"/>
      <c r="DT99" s="24"/>
      <c r="DU99" s="24"/>
      <c r="DV99" s="24"/>
      <c r="DW99" s="24"/>
      <c r="DX99" s="24"/>
      <c r="DY99" s="24"/>
      <c r="DZ99" s="24"/>
      <c r="EA99" s="24"/>
      <c r="EB99" s="24"/>
      <c r="EC99" s="24"/>
      <c r="ED99" s="24"/>
      <c r="EE99" s="24"/>
      <c r="EF99" s="24"/>
      <c r="EG99" s="24"/>
      <c r="EH99" s="24"/>
      <c r="EI99" s="24"/>
      <c r="EJ99" s="24"/>
      <c r="EK99" s="24"/>
      <c r="EL99" s="24"/>
      <c r="EM99" s="24"/>
      <c r="EN99" s="24"/>
      <c r="EO99" s="24"/>
      <c r="EP99" s="24"/>
      <c r="EQ99" s="24"/>
      <c r="ER99" s="24"/>
      <c r="ES99" s="24"/>
      <c r="ET99" s="24"/>
      <c r="EU99" s="24"/>
      <c r="EV99" s="24"/>
      <c r="EW99" s="24"/>
      <c r="EX99" s="24"/>
      <c r="EY99" s="24"/>
      <c r="EZ99" s="24"/>
      <c r="FA99" s="24"/>
      <c r="FB99" s="24"/>
      <c r="FC99" s="24"/>
      <c r="FD99" s="24"/>
      <c r="FE99" s="24"/>
      <c r="FF99" s="24"/>
      <c r="FG99" s="24"/>
      <c r="FH99" s="24"/>
      <c r="FI99" s="24"/>
      <c r="FJ99" s="24"/>
      <c r="FK99" s="24"/>
      <c r="FL99" s="24"/>
      <c r="FM99" s="24"/>
      <c r="FN99" s="24"/>
      <c r="FO99" s="24"/>
      <c r="FP99" s="24"/>
      <c r="FQ99" s="24"/>
      <c r="FR99" s="24"/>
      <c r="FS99" s="24"/>
      <c r="FT99" s="24"/>
      <c r="FU99" s="24"/>
      <c r="FV99" s="24"/>
      <c r="FW99" s="24"/>
      <c r="FX99" s="24"/>
      <c r="FY99" s="24"/>
      <c r="FZ99" s="24"/>
      <c r="GA99" s="24"/>
      <c r="GB99" s="24"/>
      <c r="GC99" s="24"/>
      <c r="GD99" s="24"/>
      <c r="GE99" s="24"/>
      <c r="GF99" s="24"/>
      <c r="GG99" s="24"/>
      <c r="GH99" s="24"/>
      <c r="GI99" s="24"/>
      <c r="GJ99" s="24"/>
      <c r="GK99" s="24"/>
      <c r="GL99" s="24"/>
      <c r="GM99" s="24"/>
      <c r="GN99" s="24"/>
      <c r="GO99" s="24"/>
      <c r="GP99" s="24"/>
      <c r="GQ99" s="24"/>
      <c r="GR99" s="24"/>
      <c r="GS99" s="24"/>
      <c r="GT99" s="24"/>
      <c r="GU99" s="24"/>
      <c r="GV99" s="24"/>
      <c r="GW99" s="24"/>
      <c r="GX99" s="24"/>
      <c r="GY99" s="24"/>
      <c r="GZ99" s="24"/>
      <c r="HA99" s="24"/>
      <c r="HB99" s="24"/>
      <c r="HC99" s="24"/>
      <c r="HD99" s="24"/>
      <c r="HE99" s="24"/>
      <c r="HF99" s="24"/>
      <c r="HG99" s="24"/>
      <c r="HH99" s="24"/>
      <c r="HI99" s="24"/>
      <c r="HJ99" s="24"/>
      <c r="HK99" s="24"/>
      <c r="HL99" s="24"/>
      <c r="HM99" s="24"/>
      <c r="HN99" s="24"/>
      <c r="HO99" s="24"/>
      <c r="HP99" s="24"/>
      <c r="HQ99" s="24"/>
      <c r="HR99" s="24"/>
      <c r="HS99" s="24"/>
      <c r="HT99" s="24"/>
      <c r="HU99" s="24"/>
      <c r="HV99" s="24"/>
      <c r="HW99" s="24"/>
      <c r="HX99" s="24"/>
      <c r="HY99" s="24"/>
      <c r="HZ99" s="24"/>
      <c r="IA99" s="24"/>
      <c r="IB99" s="24"/>
      <c r="IC99" s="24"/>
      <c r="ID99" s="24"/>
      <c r="IE99" s="24"/>
      <c r="IF99" s="24"/>
      <c r="IG99" s="24"/>
      <c r="IH99" s="24"/>
      <c r="II99" s="24"/>
      <c r="IJ99" s="24"/>
      <c r="IK99" s="24"/>
      <c r="IL99" s="24"/>
      <c r="IM99" s="24"/>
      <c r="IN99" s="24"/>
      <c r="IO99" s="24"/>
      <c r="IP99" s="24"/>
      <c r="IQ99" s="24"/>
      <c r="IR99" s="24"/>
      <c r="IS99" s="24"/>
      <c r="IT99" s="24"/>
      <c r="IU99" s="24"/>
      <c r="IV99" s="24"/>
      <c r="IW99" s="24"/>
      <c r="IX99" s="24"/>
    </row>
    <row r="100" spans="1:258" s="1" customFormat="1" ht="12.75" hidden="1" customHeight="1">
      <c r="A100" s="182"/>
      <c r="B100" s="178"/>
      <c r="C100" s="4"/>
      <c r="D100" s="4"/>
      <c r="E100" s="24"/>
      <c r="F100" s="181"/>
      <c r="G100" s="181"/>
      <c r="H100" s="181"/>
      <c r="I100" s="181"/>
      <c r="J100" s="181"/>
      <c r="K100" s="28"/>
      <c r="L100" s="28"/>
      <c r="M100" s="28"/>
      <c r="N100" s="28"/>
      <c r="O100" s="28"/>
      <c r="P100" s="28"/>
      <c r="Q100" s="28"/>
      <c r="R100" s="28"/>
      <c r="S100"/>
      <c r="T100"/>
      <c r="U100"/>
      <c r="V100" s="180"/>
      <c r="W100" s="180"/>
      <c r="X100" s="180"/>
      <c r="Y100" s="180"/>
      <c r="Z100" s="180"/>
      <c r="AA100" s="180"/>
      <c r="AB100" s="180"/>
      <c r="AC100" s="180"/>
      <c r="AD100" s="180"/>
      <c r="AE100" s="180"/>
      <c r="AF100" s="180"/>
      <c r="AG100" s="180"/>
      <c r="AH100" s="180"/>
      <c r="AI100" s="180"/>
      <c r="AJ100" s="180"/>
      <c r="AK100" s="180"/>
      <c r="AL100" s="180"/>
      <c r="AM100" s="180"/>
      <c r="AN100" s="180"/>
      <c r="AO100" s="180"/>
      <c r="AP100" s="180"/>
      <c r="AQ100" s="180"/>
      <c r="AR100" s="180"/>
      <c r="AS100" s="180"/>
      <c r="AT100" s="180"/>
      <c r="AU100" s="180"/>
      <c r="AV100" s="180"/>
      <c r="AW100" s="180"/>
      <c r="AX100" s="180"/>
      <c r="AY100" s="180"/>
      <c r="AZ100" s="180"/>
      <c r="BA100" s="180"/>
      <c r="BB100" s="180"/>
      <c r="BC100" s="180"/>
      <c r="BD100" s="180"/>
      <c r="BE100" s="180"/>
      <c r="BF100" s="180"/>
      <c r="BG100" s="180"/>
      <c r="BH100" s="180"/>
      <c r="BI100" s="180"/>
      <c r="BJ100" s="180"/>
      <c r="BK100" s="180"/>
      <c r="BL100" s="180"/>
      <c r="BM100" s="180"/>
      <c r="BN100" s="180"/>
      <c r="BO100" s="180"/>
      <c r="BP100" s="180"/>
      <c r="BQ100" s="180"/>
      <c r="BR100" s="180"/>
      <c r="BS100" s="180"/>
      <c r="BT100" s="180"/>
      <c r="BU100" s="180"/>
      <c r="BV100" s="180"/>
      <c r="BW100" s="180"/>
      <c r="BX100" s="180"/>
      <c r="BY100" s="180"/>
      <c r="BZ100" s="180"/>
      <c r="CA100" s="180"/>
      <c r="CB100" s="180"/>
      <c r="CC100" s="180"/>
      <c r="CD100" s="180"/>
      <c r="CE100" s="180"/>
      <c r="CF100" s="180"/>
      <c r="CG100" s="180"/>
      <c r="CH100" s="180"/>
      <c r="CI100" s="180"/>
      <c r="CJ100" s="180"/>
      <c r="CK100" s="180"/>
      <c r="CL100" s="180"/>
      <c r="CM100" s="180"/>
      <c r="CN100" s="180"/>
      <c r="CO100" s="180"/>
      <c r="CP100" s="180"/>
      <c r="CQ100" s="180"/>
      <c r="CR100" s="180"/>
      <c r="CS100" s="180"/>
      <c r="CT100" s="180"/>
    </row>
    <row r="101" spans="1:258" ht="14.4" hidden="1">
      <c r="A101" s="58"/>
      <c r="B101" s="178"/>
      <c r="C101" s="4"/>
      <c r="D101" s="4"/>
      <c r="F101" s="2"/>
      <c r="G101" s="2"/>
      <c r="H101" s="2"/>
      <c r="I101" s="2"/>
      <c r="J101" s="2"/>
      <c r="K101" s="2"/>
      <c r="L101" s="2"/>
      <c r="M101" s="2"/>
      <c r="N101" s="2"/>
      <c r="O101" s="2"/>
      <c r="P101" s="2"/>
      <c r="Q101" s="2"/>
      <c r="R101" s="2"/>
      <c r="S101"/>
      <c r="T101"/>
      <c r="U101"/>
    </row>
    <row r="102" spans="1:258" ht="14.4" hidden="1">
      <c r="A102" s="58"/>
      <c r="B102" s="178"/>
      <c r="C102" s="4"/>
      <c r="D102" s="4"/>
      <c r="F102" s="2"/>
      <c r="G102" s="2"/>
      <c r="H102" s="2"/>
      <c r="I102" s="2"/>
      <c r="J102" s="2"/>
      <c r="K102" s="2"/>
      <c r="L102" s="2"/>
      <c r="M102" s="2"/>
      <c r="N102" s="2"/>
      <c r="O102" s="2"/>
      <c r="P102" s="2"/>
      <c r="Q102" s="2"/>
      <c r="R102" s="2"/>
      <c r="S102"/>
      <c r="T102"/>
      <c r="U102"/>
    </row>
    <row r="103" spans="1:258" ht="14.4" hidden="1">
      <c r="A103" s="58"/>
      <c r="B103" s="178"/>
      <c r="C103" s="4"/>
      <c r="D103" s="4"/>
      <c r="F103" s="2"/>
      <c r="G103" s="2"/>
      <c r="H103" s="2"/>
      <c r="I103" s="2"/>
      <c r="J103" s="2"/>
      <c r="K103" s="2"/>
      <c r="L103" s="2"/>
      <c r="M103" s="2"/>
      <c r="N103" s="2"/>
      <c r="O103" s="2"/>
      <c r="P103" s="2"/>
      <c r="Q103" s="2"/>
      <c r="R103" s="2"/>
      <c r="S103"/>
      <c r="CI103" s="24"/>
      <c r="CJ103" s="24"/>
      <c r="CK103" s="24"/>
      <c r="CL103" s="24"/>
      <c r="CM103" s="24"/>
      <c r="CN103" s="24"/>
      <c r="CO103" s="24"/>
      <c r="CP103" s="24"/>
      <c r="CQ103" s="24"/>
      <c r="CR103" s="24"/>
      <c r="CS103" s="24"/>
      <c r="CT103" s="24"/>
    </row>
    <row r="104" spans="1:258" ht="14.4" hidden="1">
      <c r="A104" s="58"/>
      <c r="B104" s="178"/>
      <c r="C104" s="4"/>
      <c r="D104" s="4"/>
      <c r="F104" s="2"/>
      <c r="G104" s="2"/>
      <c r="H104" s="2"/>
      <c r="I104" s="2"/>
      <c r="J104" s="2"/>
      <c r="K104" s="2"/>
      <c r="L104" s="2"/>
      <c r="M104" s="2"/>
      <c r="N104" s="2"/>
      <c r="O104" s="2"/>
      <c r="P104" s="2"/>
      <c r="Q104" s="2"/>
      <c r="R104" s="2"/>
      <c r="S104"/>
      <c r="CI104" s="24"/>
      <c r="CJ104" s="24"/>
      <c r="CK104" s="24"/>
      <c r="CL104" s="24"/>
      <c r="CM104" s="24"/>
      <c r="CN104" s="24"/>
      <c r="CO104" s="24"/>
      <c r="CP104" s="24"/>
      <c r="CQ104" s="24"/>
      <c r="CR104" s="24"/>
      <c r="CS104" s="24"/>
      <c r="CT104" s="24"/>
    </row>
    <row r="105" spans="1:258" ht="14.4" hidden="1">
      <c r="A105" s="58"/>
      <c r="B105" s="178"/>
      <c r="C105" s="4"/>
      <c r="D105" s="4"/>
      <c r="F105" s="2"/>
      <c r="G105" s="2"/>
      <c r="H105" s="2"/>
      <c r="I105" s="2"/>
      <c r="J105" s="2"/>
      <c r="K105" s="2"/>
      <c r="L105" s="2"/>
      <c r="M105" s="2"/>
      <c r="N105" s="2"/>
      <c r="O105" s="2"/>
      <c r="P105" s="2"/>
      <c r="Q105" s="2"/>
      <c r="R105" s="2"/>
      <c r="S105"/>
      <c r="CI105" s="24"/>
      <c r="CJ105" s="24"/>
      <c r="CK105" s="24"/>
      <c r="CL105" s="24"/>
      <c r="CM105" s="24"/>
      <c r="CN105" s="24"/>
      <c r="CO105" s="24"/>
      <c r="CP105" s="24"/>
      <c r="CQ105" s="24"/>
      <c r="CR105" s="24"/>
      <c r="CS105" s="24"/>
      <c r="CT105" s="24"/>
    </row>
    <row r="106" spans="1:258" ht="14.4" hidden="1">
      <c r="A106" s="58"/>
      <c r="B106" s="178"/>
      <c r="C106" s="4"/>
      <c r="D106" s="4"/>
      <c r="F106" s="2"/>
      <c r="G106" s="2"/>
      <c r="H106" s="2"/>
      <c r="I106" s="2"/>
      <c r="J106" s="2"/>
      <c r="K106" s="2"/>
      <c r="L106" s="2"/>
      <c r="M106" s="2"/>
      <c r="N106" s="2"/>
      <c r="O106" s="2"/>
      <c r="P106" s="2"/>
      <c r="Q106" s="2"/>
      <c r="R106" s="2"/>
      <c r="S106"/>
      <c r="CI106" s="24"/>
      <c r="CJ106" s="24"/>
      <c r="CK106" s="24"/>
      <c r="CL106" s="24"/>
      <c r="CM106" s="24"/>
      <c r="CN106" s="24"/>
      <c r="CO106" s="24"/>
      <c r="CP106" s="24"/>
      <c r="CQ106" s="24"/>
      <c r="CR106" s="24"/>
      <c r="CS106" s="24"/>
      <c r="CT106" s="24"/>
    </row>
    <row r="107" spans="1:258" ht="14.4" hidden="1">
      <c r="A107" s="58"/>
      <c r="B107" s="178"/>
      <c r="C107" s="4"/>
      <c r="D107" s="4"/>
      <c r="F107" s="2"/>
      <c r="G107" s="2"/>
      <c r="H107" s="2"/>
      <c r="I107" s="2"/>
      <c r="J107" s="2"/>
      <c r="K107" s="2"/>
      <c r="L107" s="2"/>
      <c r="M107" s="2"/>
      <c r="N107" s="2"/>
      <c r="O107" s="2"/>
      <c r="P107" s="2"/>
      <c r="Q107" s="2"/>
      <c r="R107" s="2"/>
      <c r="S107"/>
      <c r="CI107" s="24"/>
      <c r="CJ107" s="24"/>
      <c r="CK107" s="24"/>
      <c r="CL107" s="24"/>
      <c r="CM107" s="24"/>
      <c r="CN107" s="24"/>
      <c r="CO107" s="24"/>
      <c r="CP107" s="24"/>
      <c r="CQ107" s="24"/>
      <c r="CR107" s="24"/>
      <c r="CS107" s="24"/>
      <c r="CT107" s="24"/>
    </row>
    <row r="108" spans="1:258" ht="14.4" hidden="1">
      <c r="A108" s="58"/>
      <c r="B108" s="178"/>
      <c r="C108" s="4"/>
      <c r="D108" s="4"/>
      <c r="F108" s="2"/>
      <c r="G108" s="2"/>
      <c r="H108" s="2"/>
      <c r="I108" s="2"/>
      <c r="J108" s="2"/>
      <c r="K108" s="2"/>
      <c r="L108" s="2"/>
      <c r="M108" s="2"/>
      <c r="N108" s="2"/>
      <c r="O108" s="2"/>
      <c r="P108" s="2"/>
      <c r="Q108" s="2"/>
      <c r="R108" s="2"/>
      <c r="S108"/>
      <c r="CI108" s="24"/>
      <c r="CJ108" s="24"/>
      <c r="CK108" s="24"/>
      <c r="CL108" s="24"/>
      <c r="CM108" s="24"/>
      <c r="CN108" s="24"/>
      <c r="CO108" s="24"/>
      <c r="CP108" s="24"/>
      <c r="CQ108" s="24"/>
      <c r="CR108" s="24"/>
      <c r="CS108" s="24"/>
      <c r="CT108" s="24"/>
    </row>
    <row r="109" spans="1:258" ht="14.4" hidden="1">
      <c r="A109" s="58"/>
      <c r="B109" s="178"/>
      <c r="C109" s="4"/>
      <c r="D109" s="4"/>
      <c r="F109" s="2"/>
      <c r="G109" s="2"/>
      <c r="H109" s="2"/>
      <c r="I109" s="2"/>
      <c r="J109" s="2"/>
      <c r="K109" s="2"/>
      <c r="L109" s="2"/>
      <c r="M109" s="2"/>
      <c r="N109" s="2"/>
      <c r="O109" s="2"/>
      <c r="P109" s="2"/>
      <c r="Q109" s="2"/>
      <c r="R109" s="2"/>
      <c r="S109"/>
      <c r="CI109" s="24"/>
      <c r="CJ109" s="24"/>
      <c r="CK109" s="24"/>
      <c r="CL109" s="24"/>
      <c r="CM109" s="24"/>
      <c r="CN109" s="24"/>
      <c r="CO109" s="24"/>
      <c r="CP109" s="24"/>
      <c r="CQ109" s="24"/>
      <c r="CR109" s="24"/>
      <c r="CS109" s="24"/>
      <c r="CT109" s="24"/>
    </row>
    <row r="110" spans="1:258" ht="14.4" hidden="1">
      <c r="A110" s="58"/>
      <c r="S110"/>
      <c r="T110" s="175"/>
    </row>
    <row r="111" spans="1:258" ht="14.4" hidden="1">
      <c r="S111"/>
    </row>
    <row r="112" spans="1:258" ht="14.4" hidden="1">
      <c r="S112"/>
    </row>
    <row r="113" spans="11:98" ht="14.4" hidden="1">
      <c r="S113"/>
    </row>
    <row r="114" spans="11:98" ht="14.4" hidden="1">
      <c r="S114"/>
    </row>
    <row r="115" spans="11:98" ht="14.4" hidden="1">
      <c r="S115"/>
    </row>
    <row r="116" spans="11:98" ht="14.4" hidden="1">
      <c r="S116"/>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24"/>
      <c r="CC116" s="24"/>
      <c r="CD116" s="24"/>
      <c r="CE116" s="24"/>
      <c r="CF116" s="24"/>
      <c r="CG116" s="24"/>
      <c r="CH116" s="24"/>
      <c r="CI116" s="24"/>
      <c r="CJ116" s="24"/>
      <c r="CK116" s="24"/>
      <c r="CL116" s="24"/>
      <c r="CM116" s="24"/>
      <c r="CN116" s="24"/>
      <c r="CO116" s="24"/>
      <c r="CP116" s="24"/>
      <c r="CQ116" s="24"/>
      <c r="CR116" s="24"/>
      <c r="CS116" s="24"/>
      <c r="CT116" s="24"/>
    </row>
    <row r="117" spans="11:98" ht="14.4" hidden="1">
      <c r="S117"/>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c r="CA117" s="24"/>
      <c r="CB117" s="24"/>
      <c r="CC117" s="24"/>
      <c r="CD117" s="24"/>
      <c r="CE117" s="24"/>
      <c r="CF117" s="24"/>
      <c r="CG117" s="24"/>
      <c r="CH117" s="24"/>
      <c r="CI117" s="24"/>
      <c r="CJ117" s="24"/>
      <c r="CK117" s="24"/>
      <c r="CL117" s="24"/>
      <c r="CM117" s="24"/>
      <c r="CN117" s="24"/>
      <c r="CO117" s="24"/>
      <c r="CP117" s="24"/>
      <c r="CQ117" s="24"/>
      <c r="CR117" s="24"/>
      <c r="CS117" s="24"/>
      <c r="CT117" s="24"/>
    </row>
    <row r="118" spans="11:98" ht="14.4" hidden="1">
      <c r="S118"/>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4"/>
      <c r="BZ118" s="24"/>
      <c r="CA118" s="24"/>
      <c r="CB118" s="24"/>
      <c r="CC118" s="24"/>
      <c r="CD118" s="24"/>
      <c r="CE118" s="24"/>
      <c r="CF118" s="24"/>
      <c r="CG118" s="24"/>
      <c r="CH118" s="24"/>
      <c r="CI118" s="24"/>
      <c r="CJ118" s="24"/>
      <c r="CK118" s="24"/>
      <c r="CL118" s="24"/>
      <c r="CM118" s="24"/>
      <c r="CN118" s="24"/>
      <c r="CO118" s="24"/>
      <c r="CP118" s="24"/>
      <c r="CQ118" s="24"/>
      <c r="CR118" s="24"/>
      <c r="CS118" s="24"/>
      <c r="CT118" s="24"/>
    </row>
    <row r="119" spans="11:98" ht="14.4" hidden="1">
      <c r="S119"/>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c r="CQ119" s="24"/>
      <c r="CR119" s="24"/>
      <c r="CS119" s="24"/>
      <c r="CT119" s="24"/>
    </row>
    <row r="120" spans="11:98" ht="14.4" hidden="1">
      <c r="S120"/>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c r="CA120" s="24"/>
      <c r="CB120" s="24"/>
      <c r="CC120" s="24"/>
      <c r="CD120" s="24"/>
      <c r="CE120" s="24"/>
      <c r="CF120" s="24"/>
      <c r="CG120" s="24"/>
      <c r="CH120" s="24"/>
      <c r="CI120" s="24"/>
      <c r="CJ120" s="24"/>
      <c r="CK120" s="24"/>
      <c r="CL120" s="24"/>
      <c r="CM120" s="24"/>
      <c r="CN120" s="24"/>
      <c r="CO120" s="24"/>
      <c r="CP120" s="24"/>
      <c r="CQ120" s="24"/>
      <c r="CR120" s="24"/>
      <c r="CS120" s="24"/>
      <c r="CT120" s="24"/>
    </row>
    <row r="121" spans="11:98" ht="14.4" hidden="1">
      <c r="S121"/>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24"/>
      <c r="CC121" s="24"/>
      <c r="CD121" s="24"/>
      <c r="CE121" s="24"/>
      <c r="CF121" s="24"/>
      <c r="CG121" s="24"/>
      <c r="CH121" s="24"/>
      <c r="CI121" s="24"/>
      <c r="CJ121" s="24"/>
      <c r="CK121" s="24"/>
      <c r="CL121" s="24"/>
      <c r="CM121" s="24"/>
      <c r="CN121" s="24"/>
      <c r="CO121" s="24"/>
      <c r="CP121" s="24"/>
      <c r="CQ121" s="24"/>
      <c r="CR121" s="24"/>
      <c r="CS121" s="24"/>
      <c r="CT121" s="24"/>
    </row>
    <row r="122" spans="11:98" ht="14.4" hidden="1">
      <c r="S122"/>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row>
    <row r="123" spans="11:98" ht="14.4" hidden="1">
      <c r="S123"/>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c r="CG123" s="24"/>
      <c r="CH123" s="24"/>
      <c r="CI123" s="24"/>
      <c r="CJ123" s="24"/>
      <c r="CK123" s="24"/>
      <c r="CL123" s="24"/>
      <c r="CM123" s="24"/>
      <c r="CN123" s="24"/>
      <c r="CO123" s="24"/>
      <c r="CP123" s="24"/>
      <c r="CQ123" s="24"/>
      <c r="CR123" s="24"/>
      <c r="CS123" s="24"/>
      <c r="CT123" s="24"/>
    </row>
    <row r="124" spans="11:98" ht="14.4" hidden="1">
      <c r="S1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c r="BZ124" s="24"/>
      <c r="CA124" s="24"/>
      <c r="CB124" s="24"/>
      <c r="CC124" s="24"/>
      <c r="CD124" s="24"/>
      <c r="CE124" s="24"/>
      <c r="CF124" s="24"/>
      <c r="CG124" s="24"/>
      <c r="CH124" s="24"/>
      <c r="CI124" s="24"/>
      <c r="CJ124" s="24"/>
      <c r="CK124" s="24"/>
      <c r="CL124" s="24"/>
      <c r="CM124" s="24"/>
      <c r="CN124" s="24"/>
      <c r="CO124" s="24"/>
      <c r="CP124" s="24"/>
      <c r="CQ124" s="24"/>
      <c r="CR124" s="24"/>
      <c r="CS124" s="24"/>
      <c r="CT124" s="24"/>
    </row>
    <row r="125" spans="11:98" ht="14.4" hidden="1">
      <c r="S125"/>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c r="BY125" s="24"/>
      <c r="BZ125" s="24"/>
      <c r="CA125" s="24"/>
      <c r="CB125" s="24"/>
      <c r="CC125" s="24"/>
      <c r="CD125" s="24"/>
      <c r="CE125" s="24"/>
      <c r="CF125" s="24"/>
      <c r="CG125" s="24"/>
      <c r="CH125" s="24"/>
      <c r="CI125" s="24"/>
      <c r="CJ125" s="24"/>
      <c r="CK125" s="24"/>
      <c r="CL125" s="24"/>
      <c r="CM125" s="24"/>
      <c r="CN125" s="24"/>
      <c r="CO125" s="24"/>
      <c r="CP125" s="24"/>
      <c r="CQ125" s="24"/>
      <c r="CR125" s="24"/>
      <c r="CS125" s="24"/>
      <c r="CT125" s="24"/>
    </row>
    <row r="126" spans="11:98" ht="14.4" hidden="1">
      <c r="K126" s="24" t="e">
        <f>'DCF - Assumptions'!#REF!*'DCF - Financials'!K12</f>
        <v>#REF!</v>
      </c>
      <c r="S126"/>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c r="BY126" s="24"/>
      <c r="BZ126" s="24"/>
      <c r="CA126" s="24"/>
      <c r="CB126" s="24"/>
      <c r="CC126" s="24"/>
      <c r="CD126" s="24"/>
      <c r="CE126" s="24"/>
      <c r="CF126" s="24"/>
      <c r="CG126" s="24"/>
      <c r="CH126" s="24"/>
      <c r="CI126" s="24"/>
      <c r="CJ126" s="24"/>
      <c r="CK126" s="24"/>
      <c r="CL126" s="24"/>
      <c r="CM126" s="24"/>
      <c r="CN126" s="24"/>
      <c r="CO126" s="24"/>
      <c r="CP126" s="24"/>
      <c r="CQ126" s="24"/>
      <c r="CR126" s="24"/>
      <c r="CS126" s="24"/>
      <c r="CT126" s="24"/>
    </row>
    <row r="127" spans="11:98" ht="14.4" hidden="1">
      <c r="S127"/>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c r="BZ127" s="24"/>
      <c r="CA127" s="24"/>
      <c r="CB127" s="24"/>
      <c r="CC127" s="24"/>
      <c r="CD127" s="24"/>
      <c r="CE127" s="24"/>
      <c r="CF127" s="24"/>
      <c r="CG127" s="24"/>
      <c r="CH127" s="24"/>
      <c r="CI127" s="24"/>
      <c r="CJ127" s="24"/>
      <c r="CK127" s="24"/>
      <c r="CL127" s="24"/>
      <c r="CM127" s="24"/>
      <c r="CN127" s="24"/>
      <c r="CO127" s="24"/>
      <c r="CP127" s="24"/>
      <c r="CQ127" s="24"/>
      <c r="CR127" s="24"/>
      <c r="CS127" s="24"/>
      <c r="CT127" s="24"/>
    </row>
    <row r="128" spans="11:98" ht="14.4" hidden="1">
      <c r="K128" s="24">
        <v>1744</v>
      </c>
      <c r="S128"/>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c r="BY128" s="24"/>
      <c r="BZ128" s="24"/>
      <c r="CA128" s="24"/>
      <c r="CB128" s="24"/>
      <c r="CC128" s="24"/>
      <c r="CD128" s="24"/>
      <c r="CE128" s="24"/>
      <c r="CF128" s="24"/>
      <c r="CG128" s="24"/>
      <c r="CH128" s="24"/>
      <c r="CI128" s="24"/>
      <c r="CJ128" s="24"/>
      <c r="CK128" s="24"/>
      <c r="CL128" s="24"/>
      <c r="CM128" s="24"/>
      <c r="CN128" s="24"/>
      <c r="CO128" s="24"/>
      <c r="CP128" s="24"/>
      <c r="CQ128" s="24"/>
      <c r="CR128" s="24"/>
      <c r="CS128" s="24"/>
      <c r="CT128" s="24"/>
    </row>
    <row r="129" spans="11:98" ht="14.4" hidden="1">
      <c r="K129" s="24">
        <f>$J$129</f>
        <v>0</v>
      </c>
      <c r="L129" s="24">
        <f>$J$129</f>
        <v>0</v>
      </c>
      <c r="S129"/>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c r="BY129" s="24"/>
      <c r="BZ129" s="24"/>
      <c r="CA129" s="24"/>
      <c r="CB129" s="24"/>
      <c r="CC129" s="24"/>
      <c r="CD129" s="24"/>
      <c r="CE129" s="24"/>
      <c r="CF129" s="24"/>
      <c r="CG129" s="24"/>
      <c r="CH129" s="24"/>
      <c r="CI129" s="24"/>
      <c r="CJ129" s="24"/>
      <c r="CK129" s="24"/>
      <c r="CL129" s="24"/>
      <c r="CM129" s="24"/>
      <c r="CN129" s="24"/>
      <c r="CO129" s="24"/>
      <c r="CP129" s="24"/>
      <c r="CQ129" s="24"/>
      <c r="CR129" s="24"/>
      <c r="CS129" s="24"/>
      <c r="CT129" s="24"/>
    </row>
    <row r="130" spans="11:98" ht="14.4" hidden="1">
      <c r="L130" s="177" t="e">
        <f>K130+#REF!</f>
        <v>#REF!</v>
      </c>
      <c r="S130"/>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c r="BY130" s="24"/>
      <c r="BZ130" s="24"/>
      <c r="CA130" s="24"/>
      <c r="CB130" s="24"/>
      <c r="CC130" s="24"/>
      <c r="CD130" s="24"/>
      <c r="CE130" s="24"/>
      <c r="CF130" s="24"/>
      <c r="CG130" s="24"/>
      <c r="CH130" s="24"/>
      <c r="CI130" s="24"/>
      <c r="CJ130" s="24"/>
      <c r="CK130" s="24"/>
      <c r="CL130" s="24"/>
      <c r="CM130" s="24"/>
      <c r="CN130" s="24"/>
      <c r="CO130" s="24"/>
      <c r="CP130" s="24"/>
      <c r="CQ130" s="24"/>
      <c r="CR130" s="24"/>
      <c r="CS130" s="24"/>
      <c r="CT130" s="24"/>
    </row>
    <row r="131" spans="11:98" ht="14.4" hidden="1">
      <c r="K131" s="23">
        <f>J131+K97</f>
        <v>285.39999999999998</v>
      </c>
      <c r="L131" s="23">
        <f>K131</f>
        <v>285.39999999999998</v>
      </c>
      <c r="S131"/>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c r="CB131" s="24"/>
      <c r="CC131" s="24"/>
      <c r="CD131" s="24"/>
      <c r="CE131" s="24"/>
      <c r="CF131" s="24"/>
      <c r="CG131" s="24"/>
      <c r="CH131" s="24"/>
      <c r="CI131" s="24"/>
      <c r="CJ131" s="24"/>
      <c r="CK131" s="24"/>
      <c r="CL131" s="24"/>
      <c r="CM131" s="24"/>
      <c r="CN131" s="24"/>
      <c r="CO131" s="24"/>
      <c r="CP131" s="24"/>
      <c r="CQ131" s="24"/>
      <c r="CR131" s="24"/>
      <c r="CS131" s="24"/>
      <c r="CT131" s="24"/>
    </row>
    <row r="132" spans="11:98" ht="14.4" hidden="1">
      <c r="S132"/>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4"/>
      <c r="BZ132" s="24"/>
      <c r="CA132" s="24"/>
      <c r="CB132" s="24"/>
      <c r="CC132" s="24"/>
      <c r="CD132" s="24"/>
      <c r="CE132" s="24"/>
      <c r="CF132" s="24"/>
      <c r="CG132" s="24"/>
      <c r="CH132" s="24"/>
      <c r="CI132" s="24"/>
      <c r="CJ132" s="24"/>
      <c r="CK132" s="24"/>
      <c r="CL132" s="24"/>
      <c r="CM132" s="24"/>
      <c r="CN132" s="24"/>
      <c r="CO132" s="24"/>
      <c r="CP132" s="24"/>
      <c r="CQ132" s="24"/>
      <c r="CR132" s="24"/>
      <c r="CS132" s="24"/>
      <c r="CT132" s="24"/>
    </row>
    <row r="133" spans="11:98" ht="14.4" hidden="1">
      <c r="S133"/>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row>
    <row r="134" spans="11:98" ht="14.4" hidden="1">
      <c r="S13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row>
    <row r="135" spans="11:98" ht="14.4" hidden="1">
      <c r="S135"/>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c r="CE135" s="24"/>
      <c r="CF135" s="24"/>
      <c r="CG135" s="24"/>
      <c r="CH135" s="24"/>
      <c r="CI135" s="24"/>
      <c r="CJ135" s="24"/>
      <c r="CK135" s="24"/>
      <c r="CL135" s="24"/>
      <c r="CM135" s="24"/>
      <c r="CN135" s="24"/>
      <c r="CO135" s="24"/>
      <c r="CP135" s="24"/>
      <c r="CQ135" s="24"/>
      <c r="CR135" s="24"/>
      <c r="CS135" s="24"/>
      <c r="CT135" s="24"/>
    </row>
    <row r="136" spans="11:98" ht="14.4" hidden="1">
      <c r="S136"/>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row>
    <row r="137" spans="11:98" ht="14.4" hidden="1">
      <c r="S137"/>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c r="CE137" s="24"/>
      <c r="CF137" s="24"/>
      <c r="CG137" s="24"/>
      <c r="CH137" s="24"/>
      <c r="CI137" s="24"/>
      <c r="CJ137" s="24"/>
      <c r="CK137" s="24"/>
      <c r="CL137" s="24"/>
      <c r="CM137" s="24"/>
      <c r="CN137" s="24"/>
      <c r="CO137" s="24"/>
      <c r="CP137" s="24"/>
      <c r="CQ137" s="24"/>
      <c r="CR137" s="24"/>
      <c r="CS137" s="24"/>
      <c r="CT137" s="24"/>
    </row>
    <row r="138" spans="11:98" ht="14.4" hidden="1">
      <c r="S138"/>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24"/>
      <c r="CG138" s="24"/>
      <c r="CH138" s="24"/>
      <c r="CI138" s="24"/>
      <c r="CJ138" s="24"/>
      <c r="CK138" s="24"/>
      <c r="CL138" s="24"/>
      <c r="CM138" s="24"/>
      <c r="CN138" s="24"/>
      <c r="CO138" s="24"/>
      <c r="CP138" s="24"/>
      <c r="CQ138" s="24"/>
      <c r="CR138" s="24"/>
      <c r="CS138" s="24"/>
      <c r="CT138" s="24"/>
    </row>
    <row r="139" spans="11:98" ht="14.4" hidden="1">
      <c r="S139"/>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c r="BY139" s="24"/>
      <c r="BZ139" s="24"/>
      <c r="CA139" s="24"/>
      <c r="CB139" s="24"/>
      <c r="CC139" s="24"/>
      <c r="CD139" s="24"/>
      <c r="CE139" s="24"/>
      <c r="CF139" s="24"/>
      <c r="CG139" s="24"/>
      <c r="CH139" s="24"/>
      <c r="CI139" s="24"/>
      <c r="CJ139" s="24"/>
      <c r="CK139" s="24"/>
      <c r="CL139" s="24"/>
      <c r="CM139" s="24"/>
      <c r="CN139" s="24"/>
      <c r="CO139" s="24"/>
      <c r="CP139" s="24"/>
      <c r="CQ139" s="24"/>
      <c r="CR139" s="24"/>
      <c r="CS139" s="24"/>
      <c r="CT139" s="24"/>
    </row>
    <row r="140" spans="11:98" ht="14.4" hidden="1">
      <c r="S140"/>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c r="BY140" s="24"/>
      <c r="BZ140" s="24"/>
      <c r="CA140" s="24"/>
      <c r="CB140" s="24"/>
      <c r="CC140" s="24"/>
      <c r="CD140" s="24"/>
      <c r="CE140" s="24"/>
      <c r="CF140" s="24"/>
      <c r="CG140" s="24"/>
      <c r="CH140" s="24"/>
      <c r="CI140" s="24"/>
      <c r="CJ140" s="24"/>
      <c r="CK140" s="24"/>
      <c r="CL140" s="24"/>
      <c r="CM140" s="24"/>
      <c r="CN140" s="24"/>
      <c r="CO140" s="24"/>
      <c r="CP140" s="24"/>
      <c r="CQ140" s="24"/>
      <c r="CR140" s="24"/>
      <c r="CS140" s="24"/>
      <c r="CT140" s="24"/>
    </row>
    <row r="141" spans="11:98" ht="14.4" hidden="1">
      <c r="S141"/>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c r="BY141" s="24"/>
      <c r="BZ141" s="24"/>
      <c r="CA141" s="24"/>
      <c r="CB141" s="24"/>
      <c r="CC141" s="24"/>
      <c r="CD141" s="24"/>
      <c r="CE141" s="24"/>
      <c r="CF141" s="24"/>
      <c r="CG141" s="24"/>
      <c r="CH141" s="24"/>
      <c r="CI141" s="24"/>
      <c r="CJ141" s="24"/>
      <c r="CK141" s="24"/>
      <c r="CL141" s="24"/>
      <c r="CM141" s="24"/>
      <c r="CN141" s="24"/>
      <c r="CO141" s="24"/>
      <c r="CP141" s="24"/>
      <c r="CQ141" s="24"/>
      <c r="CR141" s="24"/>
      <c r="CS141" s="24"/>
      <c r="CT141" s="24"/>
    </row>
    <row r="142" spans="11:98" ht="14.4" hidden="1">
      <c r="S142"/>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c r="BY142" s="24"/>
      <c r="BZ142" s="24"/>
      <c r="CA142" s="24"/>
      <c r="CB142" s="24"/>
      <c r="CC142" s="24"/>
      <c r="CD142" s="24"/>
      <c r="CE142" s="24"/>
      <c r="CF142" s="24"/>
      <c r="CG142" s="24"/>
      <c r="CH142" s="24"/>
      <c r="CI142" s="24"/>
      <c r="CJ142" s="24"/>
      <c r="CK142" s="24"/>
      <c r="CL142" s="24"/>
      <c r="CM142" s="24"/>
      <c r="CN142" s="24"/>
      <c r="CO142" s="24"/>
      <c r="CP142" s="24"/>
      <c r="CQ142" s="24"/>
      <c r="CR142" s="24"/>
      <c r="CS142" s="24"/>
      <c r="CT142" s="24"/>
    </row>
    <row r="143" spans="11:98" ht="14.4" hidden="1">
      <c r="S143"/>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c r="BU143" s="24"/>
      <c r="BV143" s="24"/>
      <c r="BW143" s="24"/>
      <c r="BX143" s="24"/>
      <c r="BY143" s="24"/>
      <c r="BZ143" s="24"/>
      <c r="CA143" s="24"/>
      <c r="CB143" s="24"/>
      <c r="CC143" s="24"/>
      <c r="CD143" s="24"/>
      <c r="CE143" s="24"/>
      <c r="CF143" s="24"/>
      <c r="CG143" s="24"/>
      <c r="CH143" s="24"/>
      <c r="CI143" s="24"/>
      <c r="CJ143" s="24"/>
      <c r="CK143" s="24"/>
      <c r="CL143" s="24"/>
      <c r="CM143" s="24"/>
      <c r="CN143" s="24"/>
      <c r="CO143" s="24"/>
      <c r="CP143" s="24"/>
      <c r="CQ143" s="24"/>
      <c r="CR143" s="24"/>
      <c r="CS143" s="24"/>
      <c r="CT143" s="24"/>
    </row>
    <row r="144" spans="11:98" ht="14.4" hidden="1">
      <c r="S14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c r="BU144" s="24"/>
      <c r="BV144" s="24"/>
      <c r="BW144" s="24"/>
      <c r="BX144" s="24"/>
      <c r="BY144" s="24"/>
      <c r="BZ144" s="24"/>
      <c r="CA144" s="24"/>
      <c r="CB144" s="24"/>
      <c r="CC144" s="24"/>
      <c r="CD144" s="24"/>
      <c r="CE144" s="24"/>
      <c r="CF144" s="24"/>
      <c r="CG144" s="24"/>
      <c r="CH144" s="24"/>
      <c r="CI144" s="24"/>
      <c r="CJ144" s="24"/>
      <c r="CK144" s="24"/>
      <c r="CL144" s="24"/>
      <c r="CM144" s="24"/>
      <c r="CN144" s="24"/>
      <c r="CO144" s="24"/>
      <c r="CP144" s="24"/>
      <c r="CQ144" s="24"/>
      <c r="CR144" s="24"/>
      <c r="CS144" s="24"/>
      <c r="CT144" s="24"/>
    </row>
    <row r="145" spans="19:98" ht="14.4" hidden="1">
      <c r="S145"/>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c r="BU145" s="24"/>
      <c r="BV145" s="24"/>
      <c r="BW145" s="24"/>
      <c r="BX145" s="24"/>
      <c r="BY145" s="24"/>
      <c r="BZ145" s="24"/>
      <c r="CA145" s="24"/>
      <c r="CB145" s="24"/>
      <c r="CC145" s="24"/>
      <c r="CD145" s="24"/>
      <c r="CE145" s="24"/>
      <c r="CF145" s="24"/>
      <c r="CG145" s="24"/>
      <c r="CH145" s="24"/>
      <c r="CI145" s="24"/>
      <c r="CJ145" s="24"/>
      <c r="CK145" s="24"/>
      <c r="CL145" s="24"/>
      <c r="CM145" s="24"/>
      <c r="CN145" s="24"/>
      <c r="CO145" s="24"/>
      <c r="CP145" s="24"/>
      <c r="CQ145" s="24"/>
      <c r="CR145" s="24"/>
      <c r="CS145" s="24"/>
      <c r="CT145" s="24"/>
    </row>
    <row r="146" spans="19:98" ht="14.4" hidden="1">
      <c r="S146"/>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c r="BU146" s="24"/>
      <c r="BV146" s="24"/>
      <c r="BW146" s="24"/>
      <c r="BX146" s="24"/>
      <c r="BY146" s="24"/>
      <c r="BZ146" s="24"/>
      <c r="CA146" s="24"/>
      <c r="CB146" s="24"/>
      <c r="CC146" s="24"/>
      <c r="CD146" s="24"/>
      <c r="CE146" s="24"/>
      <c r="CF146" s="24"/>
      <c r="CG146" s="24"/>
      <c r="CH146" s="24"/>
      <c r="CI146" s="24"/>
      <c r="CJ146" s="24"/>
      <c r="CK146" s="24"/>
      <c r="CL146" s="24"/>
      <c r="CM146" s="24"/>
      <c r="CN146" s="24"/>
      <c r="CO146" s="24"/>
      <c r="CP146" s="24"/>
      <c r="CQ146" s="24"/>
      <c r="CR146" s="24"/>
      <c r="CS146" s="24"/>
      <c r="CT146" s="24"/>
    </row>
    <row r="147" spans="19:98" ht="14.4" hidden="1">
      <c r="S147"/>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c r="BY147" s="24"/>
      <c r="BZ147" s="24"/>
      <c r="CA147" s="24"/>
      <c r="CB147" s="24"/>
      <c r="CC147" s="24"/>
      <c r="CD147" s="24"/>
      <c r="CE147" s="24"/>
      <c r="CF147" s="24"/>
      <c r="CG147" s="24"/>
      <c r="CH147" s="24"/>
      <c r="CI147" s="24"/>
      <c r="CJ147" s="24"/>
      <c r="CK147" s="24"/>
      <c r="CL147" s="24"/>
      <c r="CM147" s="24"/>
      <c r="CN147" s="24"/>
      <c r="CO147" s="24"/>
      <c r="CP147" s="24"/>
      <c r="CQ147" s="24"/>
      <c r="CR147" s="24"/>
      <c r="CS147" s="24"/>
      <c r="CT147" s="24"/>
    </row>
    <row r="148" spans="19:98" ht="14.4" hidden="1">
      <c r="S148"/>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c r="BU148" s="24"/>
      <c r="BV148" s="24"/>
      <c r="BW148" s="24"/>
      <c r="BX148" s="24"/>
      <c r="BY148" s="24"/>
      <c r="BZ148" s="24"/>
      <c r="CA148" s="24"/>
      <c r="CB148" s="24"/>
      <c r="CC148" s="24"/>
      <c r="CD148" s="24"/>
      <c r="CE148" s="24"/>
      <c r="CF148" s="24"/>
      <c r="CG148" s="24"/>
      <c r="CH148" s="24"/>
      <c r="CI148" s="24"/>
      <c r="CJ148" s="24"/>
      <c r="CK148" s="24"/>
      <c r="CL148" s="24"/>
      <c r="CM148" s="24"/>
      <c r="CN148" s="24"/>
      <c r="CO148" s="24"/>
      <c r="CP148" s="24"/>
      <c r="CQ148" s="24"/>
      <c r="CR148" s="24"/>
      <c r="CS148" s="24"/>
      <c r="CT148" s="24"/>
    </row>
    <row r="149" spans="19:98" ht="14.4" hidden="1">
      <c r="S149"/>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c r="BU149" s="24"/>
      <c r="BV149" s="24"/>
      <c r="BW149" s="24"/>
      <c r="BX149" s="24"/>
      <c r="BY149" s="24"/>
      <c r="BZ149" s="24"/>
      <c r="CA149" s="24"/>
      <c r="CB149" s="24"/>
      <c r="CC149" s="24"/>
      <c r="CD149" s="24"/>
      <c r="CE149" s="24"/>
      <c r="CF149" s="24"/>
      <c r="CG149" s="24"/>
      <c r="CH149" s="24"/>
      <c r="CI149" s="24"/>
      <c r="CJ149" s="24"/>
      <c r="CK149" s="24"/>
      <c r="CL149" s="24"/>
      <c r="CM149" s="24"/>
      <c r="CN149" s="24"/>
      <c r="CO149" s="24"/>
      <c r="CP149" s="24"/>
      <c r="CQ149" s="24"/>
      <c r="CR149" s="24"/>
      <c r="CS149" s="24"/>
      <c r="CT149" s="24"/>
    </row>
    <row r="150" spans="19:98" ht="14.4" hidden="1">
      <c r="S150"/>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c r="BU150" s="24"/>
      <c r="BV150" s="24"/>
      <c r="BW150" s="24"/>
      <c r="BX150" s="24"/>
      <c r="BY150" s="24"/>
      <c r="BZ150" s="24"/>
      <c r="CA150" s="24"/>
      <c r="CB150" s="24"/>
      <c r="CC150" s="24"/>
      <c r="CD150" s="24"/>
      <c r="CE150" s="24"/>
      <c r="CF150" s="24"/>
      <c r="CG150" s="24"/>
      <c r="CH150" s="24"/>
      <c r="CI150" s="24"/>
      <c r="CJ150" s="24"/>
      <c r="CK150" s="24"/>
      <c r="CL150" s="24"/>
      <c r="CM150" s="24"/>
      <c r="CN150" s="24"/>
      <c r="CO150" s="24"/>
      <c r="CP150" s="24"/>
      <c r="CQ150" s="24"/>
      <c r="CR150" s="24"/>
      <c r="CS150" s="24"/>
      <c r="CT150" s="24"/>
    </row>
    <row r="151" spans="19:98" ht="14.4" hidden="1">
      <c r="S151"/>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c r="BU151" s="24"/>
      <c r="BV151" s="24"/>
      <c r="BW151" s="24"/>
      <c r="BX151" s="24"/>
      <c r="BY151" s="24"/>
      <c r="BZ151" s="24"/>
      <c r="CA151" s="24"/>
      <c r="CB151" s="24"/>
      <c r="CC151" s="24"/>
      <c r="CD151" s="24"/>
      <c r="CE151" s="24"/>
      <c r="CF151" s="24"/>
      <c r="CG151" s="24"/>
      <c r="CH151" s="24"/>
      <c r="CI151" s="24"/>
      <c r="CJ151" s="24"/>
      <c r="CK151" s="24"/>
      <c r="CL151" s="24"/>
      <c r="CM151" s="24"/>
      <c r="CN151" s="24"/>
      <c r="CO151" s="24"/>
      <c r="CP151" s="24"/>
      <c r="CQ151" s="24"/>
      <c r="CR151" s="24"/>
      <c r="CS151" s="24"/>
      <c r="CT151" s="24"/>
    </row>
    <row r="152" spans="19:98" ht="14.4" hidden="1">
      <c r="S152"/>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c r="BY152" s="24"/>
      <c r="BZ152" s="24"/>
      <c r="CA152" s="24"/>
      <c r="CB152" s="24"/>
      <c r="CC152" s="24"/>
      <c r="CD152" s="24"/>
      <c r="CE152" s="24"/>
      <c r="CF152" s="24"/>
      <c r="CG152" s="24"/>
      <c r="CH152" s="24"/>
      <c r="CI152" s="24"/>
      <c r="CJ152" s="24"/>
      <c r="CK152" s="24"/>
      <c r="CL152" s="24"/>
      <c r="CM152" s="24"/>
      <c r="CN152" s="24"/>
      <c r="CO152" s="24"/>
      <c r="CP152" s="24"/>
      <c r="CQ152" s="24"/>
      <c r="CR152" s="24"/>
      <c r="CS152" s="24"/>
      <c r="CT152" s="24"/>
    </row>
    <row r="153" spans="19:98" ht="14.4" hidden="1">
      <c r="S153"/>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c r="BY153" s="24"/>
      <c r="BZ153" s="24"/>
      <c r="CA153" s="24"/>
      <c r="CB153" s="24"/>
      <c r="CC153" s="24"/>
      <c r="CD153" s="24"/>
      <c r="CE153" s="24"/>
      <c r="CF153" s="24"/>
      <c r="CG153" s="24"/>
      <c r="CH153" s="24"/>
      <c r="CI153" s="24"/>
      <c r="CJ153" s="24"/>
      <c r="CK153" s="24"/>
      <c r="CL153" s="24"/>
      <c r="CM153" s="24"/>
      <c r="CN153" s="24"/>
      <c r="CO153" s="24"/>
      <c r="CP153" s="24"/>
      <c r="CQ153" s="24"/>
      <c r="CR153" s="24"/>
      <c r="CS153" s="24"/>
      <c r="CT153" s="24"/>
    </row>
    <row r="154" spans="19:98" ht="14.4" hidden="1">
      <c r="S15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c r="BU154" s="24"/>
      <c r="BV154" s="24"/>
      <c r="BW154" s="24"/>
      <c r="BX154" s="24"/>
      <c r="BY154" s="24"/>
      <c r="BZ154" s="24"/>
      <c r="CA154" s="24"/>
      <c r="CB154" s="24"/>
      <c r="CC154" s="24"/>
      <c r="CD154" s="24"/>
      <c r="CE154" s="24"/>
      <c r="CF154" s="24"/>
      <c r="CG154" s="24"/>
      <c r="CH154" s="24"/>
      <c r="CI154" s="24"/>
      <c r="CJ154" s="24"/>
      <c r="CK154" s="24"/>
      <c r="CL154" s="24"/>
      <c r="CM154" s="24"/>
      <c r="CN154" s="24"/>
      <c r="CO154" s="24"/>
      <c r="CP154" s="24"/>
      <c r="CQ154" s="24"/>
      <c r="CR154" s="24"/>
      <c r="CS154" s="24"/>
      <c r="CT154" s="24"/>
    </row>
    <row r="155" spans="19:98" ht="14.4" hidden="1">
      <c r="S155"/>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c r="BU155" s="24"/>
      <c r="BV155" s="24"/>
      <c r="BW155" s="24"/>
      <c r="BX155" s="24"/>
      <c r="BY155" s="24"/>
      <c r="BZ155" s="24"/>
      <c r="CA155" s="24"/>
      <c r="CB155" s="24"/>
      <c r="CC155" s="24"/>
      <c r="CD155" s="24"/>
      <c r="CE155" s="24"/>
      <c r="CF155" s="24"/>
      <c r="CG155" s="24"/>
      <c r="CH155" s="24"/>
      <c r="CI155" s="24"/>
      <c r="CJ155" s="24"/>
      <c r="CK155" s="24"/>
      <c r="CL155" s="24"/>
      <c r="CM155" s="24"/>
      <c r="CN155" s="24"/>
      <c r="CO155" s="24"/>
      <c r="CP155" s="24"/>
      <c r="CQ155" s="24"/>
      <c r="CR155" s="24"/>
      <c r="CS155" s="24"/>
      <c r="CT155" s="24"/>
    </row>
    <row r="156" spans="19:98" ht="14.4" hidden="1">
      <c r="S156"/>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c r="BU156" s="24"/>
      <c r="BV156" s="24"/>
      <c r="BW156" s="24"/>
      <c r="BX156" s="24"/>
      <c r="BY156" s="24"/>
      <c r="BZ156" s="24"/>
      <c r="CA156" s="24"/>
      <c r="CB156" s="24"/>
      <c r="CC156" s="24"/>
      <c r="CD156" s="24"/>
      <c r="CE156" s="24"/>
      <c r="CF156" s="24"/>
      <c r="CG156" s="24"/>
      <c r="CH156" s="24"/>
      <c r="CI156" s="24"/>
      <c r="CJ156" s="24"/>
      <c r="CK156" s="24"/>
      <c r="CL156" s="24"/>
      <c r="CM156" s="24"/>
      <c r="CN156" s="24"/>
      <c r="CO156" s="24"/>
      <c r="CP156" s="24"/>
      <c r="CQ156" s="24"/>
      <c r="CR156" s="24"/>
      <c r="CS156" s="24"/>
      <c r="CT156" s="24"/>
    </row>
    <row r="157" spans="19:98" ht="14.4" hidden="1">
      <c r="S157"/>
    </row>
    <row r="158" spans="19:98" ht="14.4" hidden="1">
      <c r="S158"/>
    </row>
    <row r="159" spans="19:98" ht="14.4" hidden="1">
      <c r="S159"/>
    </row>
    <row r="160" spans="19:98" ht="14.4" hidden="1">
      <c r="S160"/>
    </row>
    <row r="161" spans="19:19" ht="14.4" hidden="1">
      <c r="S161"/>
    </row>
    <row r="162" spans="19:19" ht="14.4" hidden="1">
      <c r="S162"/>
    </row>
    <row r="163" spans="19:19" ht="14.4" hidden="1">
      <c r="S163"/>
    </row>
    <row r="164" spans="19:19" ht="14.4" hidden="1">
      <c r="S164"/>
    </row>
    <row r="165" spans="19:19" ht="14.4" hidden="1">
      <c r="S165"/>
    </row>
    <row r="166" spans="19:19" ht="14.4" hidden="1">
      <c r="S166"/>
    </row>
    <row r="167" spans="19:19" ht="14.4" hidden="1">
      <c r="S167"/>
    </row>
    <row r="168" spans="19:19" ht="14.4" hidden="1">
      <c r="S168"/>
    </row>
    <row r="169" spans="19:19" ht="14.4" hidden="1">
      <c r="S169"/>
    </row>
    <row r="170" spans="19:19" ht="14.4" hidden="1">
      <c r="S170"/>
    </row>
    <row r="171" spans="19:19" ht="14.4" hidden="1">
      <c r="S171"/>
    </row>
    <row r="172" spans="19:19" ht="14.4" hidden="1">
      <c r="S172"/>
    </row>
    <row r="173" spans="19:19" ht="14.4" hidden="1">
      <c r="S173"/>
    </row>
    <row r="174" spans="19:19" ht="14.4" hidden="1">
      <c r="S174"/>
    </row>
    <row r="175" spans="19:19" ht="14.4" hidden="1">
      <c r="S175"/>
    </row>
    <row r="176" spans="19:19" ht="14.4" hidden="1">
      <c r="S176"/>
    </row>
    <row r="177" spans="19:19" ht="14.4" hidden="1">
      <c r="S177"/>
    </row>
    <row r="178" spans="19:19" ht="14.4" hidden="1">
      <c r="S178"/>
    </row>
    <row r="179" spans="19:19" ht="14.4" hidden="1">
      <c r="S179"/>
    </row>
    <row r="180" spans="19:19" ht="14.4" hidden="1">
      <c r="S180"/>
    </row>
    <row r="181" spans="19:19" ht="14.4" hidden="1">
      <c r="S181"/>
    </row>
    <row r="182" spans="19:19" ht="14.4" hidden="1">
      <c r="S182"/>
    </row>
    <row r="183" spans="19:19" ht="14.4" hidden="1">
      <c r="S183"/>
    </row>
    <row r="184" spans="19:19" ht="14.4" hidden="1">
      <c r="S184"/>
    </row>
    <row r="185" spans="19:19" ht="14.4" hidden="1">
      <c r="S185"/>
    </row>
    <row r="186" spans="19:19" ht="14.4" hidden="1">
      <c r="S186"/>
    </row>
    <row r="187" spans="19:19" ht="14.4" hidden="1">
      <c r="S187"/>
    </row>
    <row r="188" spans="19:19" ht="14.4" hidden="1">
      <c r="S188"/>
    </row>
    <row r="189" spans="19:19" ht="14.4" hidden="1">
      <c r="S189"/>
    </row>
    <row r="190" spans="19:19" ht="14.4" hidden="1">
      <c r="S190"/>
    </row>
    <row r="191" spans="19:19" ht="14.4" hidden="1">
      <c r="S191"/>
    </row>
    <row r="192" spans="19:19" ht="14.4" hidden="1">
      <c r="S192"/>
    </row>
    <row r="193" spans="19:19" ht="14.4" hidden="1">
      <c r="S193"/>
    </row>
    <row r="194" spans="19:19" ht="14.4" hidden="1">
      <c r="S194"/>
    </row>
    <row r="195" spans="19:19" ht="14.4" hidden="1">
      <c r="S195"/>
    </row>
    <row r="196" spans="19:19" ht="14.4" hidden="1">
      <c r="S196"/>
    </row>
    <row r="197" spans="19:19" ht="14.4" hidden="1">
      <c r="S197"/>
    </row>
    <row r="198" spans="19:19" ht="14.4" hidden="1">
      <c r="S198"/>
    </row>
    <row r="199" spans="19:19" ht="14.4" hidden="1">
      <c r="S199"/>
    </row>
    <row r="200" spans="19:19" ht="14.4" hidden="1">
      <c r="S200"/>
    </row>
    <row r="201" spans="19:19" ht="14.4" hidden="1">
      <c r="S201"/>
    </row>
    <row r="202" spans="19:19" ht="14.4" hidden="1">
      <c r="S202"/>
    </row>
    <row r="203" spans="19:19" ht="14.4" hidden="1">
      <c r="S203"/>
    </row>
    <row r="204" spans="19:19" ht="14.4" hidden="1">
      <c r="S204"/>
    </row>
    <row r="205" spans="19:19" ht="14.4" hidden="1">
      <c r="S205"/>
    </row>
    <row r="206" spans="19:19" ht="14.4" hidden="1">
      <c r="S206"/>
    </row>
    <row r="207" spans="19:19" ht="14.4" hidden="1">
      <c r="S207"/>
    </row>
    <row r="208" spans="19:19" ht="14.4" hidden="1">
      <c r="S208"/>
    </row>
    <row r="209" spans="19:19" ht="14.4" hidden="1">
      <c r="S209"/>
    </row>
    <row r="210" spans="19:19" ht="14.4" hidden="1">
      <c r="S210"/>
    </row>
    <row r="211" spans="19:19" ht="14.4" hidden="1">
      <c r="S211"/>
    </row>
    <row r="212" spans="19:19" ht="14.4" hidden="1">
      <c r="S212"/>
    </row>
    <row r="213" spans="19:19" ht="14.4" hidden="1">
      <c r="S213"/>
    </row>
    <row r="214" spans="19:19" ht="14.4" hidden="1">
      <c r="S214"/>
    </row>
    <row r="215" spans="19:19" ht="14.4" hidden="1">
      <c r="S215"/>
    </row>
    <row r="216" spans="19:19" ht="14.4" hidden="1">
      <c r="S216"/>
    </row>
    <row r="217" spans="19:19" ht="14.4" hidden="1">
      <c r="S217"/>
    </row>
    <row r="218" spans="19:19" ht="14.4" hidden="1">
      <c r="S218"/>
    </row>
    <row r="219" spans="19:19" ht="14.4" hidden="1">
      <c r="S219"/>
    </row>
    <row r="220" spans="19:19" ht="14.4" hidden="1">
      <c r="S220"/>
    </row>
    <row r="221" spans="19:19" ht="14.4" hidden="1">
      <c r="S221"/>
    </row>
    <row r="222" spans="19:19" ht="14.4" hidden="1">
      <c r="S222"/>
    </row>
    <row r="223" spans="19:19" ht="14.4" hidden="1">
      <c r="S223"/>
    </row>
    <row r="224" spans="19:19" ht="14.4" hidden="1">
      <c r="S224"/>
    </row>
    <row r="225" spans="19:19" ht="14.4" hidden="1">
      <c r="S225"/>
    </row>
    <row r="226" spans="19:19" ht="14.4" hidden="1">
      <c r="S226"/>
    </row>
    <row r="227" spans="19:19" ht="14.4" hidden="1">
      <c r="S227"/>
    </row>
    <row r="228" spans="19:19" ht="14.4" hidden="1">
      <c r="S228"/>
    </row>
    <row r="229" spans="19:19" ht="14.4" hidden="1">
      <c r="S229"/>
    </row>
    <row r="230" spans="19:19" ht="14.4" hidden="1">
      <c r="S230"/>
    </row>
    <row r="231" spans="19:19" ht="14.4" hidden="1">
      <c r="S231"/>
    </row>
    <row r="232" spans="19:19" ht="14.4" hidden="1">
      <c r="S232"/>
    </row>
    <row r="233" spans="19:19" ht="14.4" hidden="1">
      <c r="S233"/>
    </row>
    <row r="234" spans="19:19" ht="14.4" hidden="1">
      <c r="S234"/>
    </row>
    <row r="235" spans="19:19" ht="14.4" hidden="1">
      <c r="S235"/>
    </row>
    <row r="236" spans="19:19" ht="14.4" hidden="1">
      <c r="S236"/>
    </row>
    <row r="237" spans="19:19" ht="14.4" hidden="1">
      <c r="S237"/>
    </row>
    <row r="238" spans="19:19" ht="14.4" hidden="1">
      <c r="S238"/>
    </row>
    <row r="239" spans="19:19" ht="14.4" hidden="1">
      <c r="S239"/>
    </row>
    <row r="240" spans="19:19" ht="14.4" hidden="1">
      <c r="S240"/>
    </row>
    <row r="241" spans="19:19" ht="14.4" hidden="1">
      <c r="S241"/>
    </row>
    <row r="242" spans="19:19" ht="14.4" hidden="1">
      <c r="S242"/>
    </row>
    <row r="243" spans="19:19" ht="14.4" hidden="1">
      <c r="S243"/>
    </row>
    <row r="244" spans="19:19" ht="14.4" hidden="1">
      <c r="S244"/>
    </row>
    <row r="245" spans="19:19" ht="14.4" hidden="1">
      <c r="S245"/>
    </row>
    <row r="246" spans="19:19" ht="14.4" hidden="1">
      <c r="S246"/>
    </row>
    <row r="247" spans="19:19" ht="14.4" hidden="1">
      <c r="S247"/>
    </row>
    <row r="248" spans="19:19" ht="14.4" hidden="1">
      <c r="S248"/>
    </row>
    <row r="249" spans="19:19" ht="14.4" hidden="1">
      <c r="S249"/>
    </row>
    <row r="250" spans="19:19" ht="14.4" hidden="1">
      <c r="S250"/>
    </row>
    <row r="251" spans="19:19" ht="14.4" hidden="1">
      <c r="S251"/>
    </row>
    <row r="252" spans="19:19" ht="14.4" hidden="1">
      <c r="S252"/>
    </row>
    <row r="253" spans="19:19" ht="14.4" hidden="1">
      <c r="S253"/>
    </row>
    <row r="254" spans="19:19" ht="14.4" hidden="1">
      <c r="S254"/>
    </row>
    <row r="255" spans="19:19" ht="14.4" hidden="1">
      <c r="S255"/>
    </row>
    <row r="256" spans="19:19" ht="14.4" hidden="1">
      <c r="S256"/>
    </row>
    <row r="257" spans="19:19" ht="14.4" hidden="1">
      <c r="S257"/>
    </row>
    <row r="258" spans="19:19" ht="14.4" hidden="1">
      <c r="S258"/>
    </row>
    <row r="259" spans="19:19" ht="14.4" hidden="1">
      <c r="S259"/>
    </row>
    <row r="260" spans="19:19" ht="14.4" hidden="1">
      <c r="S260"/>
    </row>
    <row r="261" spans="19:19" ht="14.4" hidden="1">
      <c r="S261"/>
    </row>
    <row r="262" spans="19:19" ht="14.4" hidden="1">
      <c r="S262"/>
    </row>
    <row r="263" spans="19:19" ht="14.4" hidden="1">
      <c r="S263"/>
    </row>
    <row r="264" spans="19:19" ht="14.4" hidden="1">
      <c r="S264"/>
    </row>
    <row r="265" spans="19:19" ht="14.4" hidden="1">
      <c r="S265"/>
    </row>
    <row r="266" spans="19:19" ht="14.4" hidden="1">
      <c r="S266"/>
    </row>
    <row r="267" spans="19:19" ht="14.4" hidden="1">
      <c r="S267"/>
    </row>
    <row r="268" spans="19:19" ht="14.4" hidden="1">
      <c r="S268"/>
    </row>
    <row r="269" spans="19:19" ht="14.4" hidden="1">
      <c r="S269"/>
    </row>
    <row r="270" spans="19:19" ht="14.4" hidden="1">
      <c r="S270"/>
    </row>
    <row r="271" spans="19:19" ht="14.4" hidden="1">
      <c r="S271"/>
    </row>
    <row r="272" spans="19:19" ht="14.4" hidden="1">
      <c r="S272"/>
    </row>
    <row r="273" spans="19:19" ht="14.4" hidden="1">
      <c r="S273"/>
    </row>
    <row r="274" spans="19:19" ht="14.4" hidden="1">
      <c r="S274"/>
    </row>
    <row r="275" spans="19:19" ht="14.4" hidden="1">
      <c r="S275"/>
    </row>
    <row r="276" spans="19:19" ht="14.4" hidden="1">
      <c r="S276"/>
    </row>
    <row r="277" spans="19:19" ht="14.4" hidden="1">
      <c r="S277"/>
    </row>
    <row r="278" spans="19:19" ht="14.4" hidden="1">
      <c r="S278"/>
    </row>
    <row r="279" spans="19:19" ht="14.4" hidden="1">
      <c r="S279"/>
    </row>
    <row r="280" spans="19:19" hidden="1"/>
    <row r="281" spans="19:19" hidden="1"/>
    <row r="282" spans="19:19" hidden="1"/>
    <row r="283" spans="19:19" hidden="1"/>
    <row r="284" spans="19:19" hidden="1"/>
    <row r="285" spans="19:19" hidden="1"/>
    <row r="286" spans="19:19" hidden="1"/>
    <row r="287" spans="19:19" hidden="1"/>
    <row r="288" spans="19:19"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sheetData>
  <conditionalFormatting sqref="T1:U1">
    <cfRule type="cellIs" dxfId="72" priority="1" operator="equal">
      <formula>"Check"</formula>
    </cfRule>
  </conditionalFormatting>
  <pageMargins left="0.74803149606299213" right="0.74803149606299213" top="0.98425196850393704" bottom="0.98425196850393704" header="0.51181102362204722" footer="0.51181102362204722"/>
  <pageSetup orientation="portrait" r:id="rId1"/>
  <headerFooter alignWithMargins="0">
    <oddFooter>&amp;LIB-Competition Preliminary Case&amp;RPage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A3044-9E23-4EE7-8F95-5D0AD24DAC97}">
  <sheetPr codeName="Sheet10">
    <tabColor rgb="FF86654A"/>
  </sheetPr>
  <dimension ref="A1:IY619"/>
  <sheetViews>
    <sheetView showGridLines="0" topLeftCell="A2" zoomScaleNormal="100" zoomScaleSheetLayoutView="100" workbookViewId="0">
      <pane xSplit="4" ySplit="7" topLeftCell="E54" activePane="bottomRight" state="frozen"/>
      <selection activeCell="F21" sqref="F21"/>
      <selection pane="topRight" activeCell="F21" sqref="F21"/>
      <selection pane="bottomLeft" activeCell="F21" sqref="F21"/>
      <selection pane="bottomRight" activeCell="I3" sqref="A3:XFD5"/>
    </sheetView>
  </sheetViews>
  <sheetFormatPr defaultColWidth="0" defaultRowHeight="10.199999999999999" zeroHeight="1"/>
  <cols>
    <col min="1" max="1" width="2.77734375" style="24" customWidth="1"/>
    <col min="2" max="2" width="24.44140625" style="24" customWidth="1"/>
    <col min="3" max="3" width="16.33203125" style="24" customWidth="1"/>
    <col min="4" max="4" width="11.44140625" style="24" hidden="1" customWidth="1"/>
    <col min="5" max="5" width="4.6640625" style="24" customWidth="1"/>
    <col min="6" max="6" width="7.109375" style="24" customWidth="1"/>
    <col min="7" max="10" width="7.33203125" style="24" customWidth="1"/>
    <col min="11" max="18" width="7.109375" style="24" customWidth="1"/>
    <col min="19" max="19" width="2.77734375" style="4" customWidth="1"/>
    <col min="20" max="21" width="4.44140625" style="4" customWidth="1"/>
    <col min="22" max="22" width="2.44140625" style="4" customWidth="1"/>
    <col min="23" max="257" width="9.44140625" style="4" hidden="1" customWidth="1"/>
    <col min="258" max="259" width="0" style="4" hidden="1" customWidth="1"/>
    <col min="260" max="16384" width="9.44140625" style="4" hidden="1"/>
  </cols>
  <sheetData>
    <row r="1" spans="1:98" hidden="1">
      <c r="A1" s="43"/>
      <c r="B1" s="43"/>
      <c r="C1" s="43"/>
      <c r="D1" s="43"/>
    </row>
    <row r="2" spans="1:98" s="45" customFormat="1" ht="13.2">
      <c r="A2" s="49" t="str">
        <f>'DCF - Assumptions'!$E$8&amp;" | Discounted Cash Flows - Financial Statements"</f>
        <v>Tapestry | Discounted Cash Flows - Financial Statements</v>
      </c>
      <c r="B2" s="48"/>
      <c r="C2" s="47"/>
      <c r="D2" s="47"/>
      <c r="E2" s="47"/>
      <c r="F2" s="47"/>
      <c r="G2" s="47"/>
      <c r="H2" s="47"/>
      <c r="I2" s="47"/>
      <c r="J2" s="47"/>
      <c r="K2" s="47"/>
      <c r="L2" s="47"/>
      <c r="M2" s="47"/>
      <c r="N2" s="47"/>
      <c r="O2" s="47"/>
      <c r="P2" s="47"/>
      <c r="Q2" s="47"/>
      <c r="R2" s="47"/>
      <c r="T2" s="46" t="str">
        <f>IF(U7=T7,"OK","Check")</f>
        <v>OK</v>
      </c>
      <c r="U2" s="46" t="str">
        <f>IF(T6=U6,"OK","Check")</f>
        <v>OK</v>
      </c>
    </row>
    <row r="3" spans="1:98" s="43" customFormat="1" ht="1.95" customHeight="1">
      <c r="A3" s="44"/>
      <c r="S3" s="42"/>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row>
    <row r="4" spans="1:98" s="176" customFormat="1" ht="3" customHeight="1">
      <c r="A4" s="40"/>
      <c r="B4" s="39"/>
      <c r="C4" s="39"/>
      <c r="D4" s="39"/>
      <c r="E4" s="39"/>
      <c r="F4" s="39"/>
      <c r="G4" s="39"/>
      <c r="H4" s="39"/>
      <c r="I4" s="39"/>
      <c r="J4" s="39"/>
      <c r="K4" s="39"/>
      <c r="L4" s="39"/>
      <c r="M4" s="39"/>
      <c r="N4" s="39"/>
      <c r="O4" s="39"/>
      <c r="P4" s="39"/>
      <c r="Q4" s="39"/>
      <c r="R4" s="39"/>
      <c r="S4" s="38"/>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row>
    <row r="5" spans="1:98" ht="11.25" customHeight="1">
      <c r="A5" s="175"/>
      <c r="B5" s="4"/>
      <c r="C5" s="4"/>
      <c r="D5" s="4"/>
      <c r="E5" s="4"/>
      <c r="F5" s="56"/>
      <c r="G5" s="56"/>
      <c r="H5" s="56"/>
      <c r="I5" s="55"/>
      <c r="J5" s="55"/>
      <c r="K5" s="95"/>
      <c r="L5" s="95"/>
      <c r="M5" s="95"/>
      <c r="N5" s="95"/>
      <c r="O5" s="95"/>
      <c r="P5" s="95"/>
      <c r="Q5" s="95"/>
      <c r="R5" s="95"/>
    </row>
    <row r="6" spans="1:98" s="62" customFormat="1" ht="13.2">
      <c r="A6" s="29"/>
      <c r="B6" s="733" t="s">
        <v>122</v>
      </c>
      <c r="C6" s="734"/>
      <c r="D6" s="734"/>
      <c r="E6" s="734"/>
      <c r="F6" s="734"/>
      <c r="G6" s="734"/>
      <c r="H6" s="734"/>
      <c r="I6" s="734"/>
      <c r="J6" s="734"/>
      <c r="K6" s="734"/>
      <c r="L6" s="734"/>
      <c r="M6" s="734"/>
      <c r="N6" s="734"/>
      <c r="O6" s="734"/>
      <c r="P6" s="734"/>
      <c r="Q6" s="734"/>
      <c r="R6" s="734"/>
      <c r="S6" s="4"/>
      <c r="T6" s="61">
        <f>ROWS(B6:B149)</f>
        <v>144</v>
      </c>
      <c r="U6" s="35">
        <v>144</v>
      </c>
      <c r="V6" s="29"/>
      <c r="W6" s="29"/>
      <c r="X6" s="29"/>
      <c r="Y6" s="29"/>
      <c r="Z6" s="29"/>
      <c r="AA6" s="29"/>
      <c r="AB6" s="29"/>
      <c r="AC6" s="29"/>
      <c r="AD6" s="29"/>
      <c r="AE6" s="29"/>
      <c r="AF6" s="29"/>
      <c r="AG6" s="29"/>
      <c r="AH6" s="29"/>
      <c r="AI6" s="29"/>
      <c r="AJ6" s="29"/>
      <c r="AK6" s="29"/>
    </row>
    <row r="7" spans="1:98" ht="13.05" customHeight="1">
      <c r="A7" s="4"/>
      <c r="B7" s="4"/>
      <c r="C7" s="4"/>
      <c r="D7" s="4"/>
      <c r="E7" s="4"/>
      <c r="F7" s="56"/>
      <c r="G7" s="56"/>
      <c r="H7" s="56"/>
      <c r="I7" s="55"/>
      <c r="J7" s="55"/>
      <c r="K7" s="95" t="str">
        <f>'DCF - Assumptions'!$K$6</f>
        <v>Projected Fiscal Years Ending December 31</v>
      </c>
      <c r="L7" s="95"/>
      <c r="M7" s="95"/>
      <c r="N7" s="95"/>
      <c r="O7" s="95"/>
      <c r="P7" s="95"/>
      <c r="Q7" s="95"/>
      <c r="R7" s="95"/>
      <c r="T7" s="61">
        <f>SUM(T9:T149)</f>
        <v>111</v>
      </c>
      <c r="U7" s="454">
        <v>111</v>
      </c>
    </row>
    <row r="8" spans="1:98" ht="13.05" customHeight="1" thickBot="1">
      <c r="A8" s="94"/>
      <c r="B8" s="94" t="s">
        <v>121</v>
      </c>
      <c r="C8" s="94"/>
      <c r="D8" s="94"/>
      <c r="E8" s="94"/>
      <c r="F8" s="174">
        <f>+'DCF - Assumptions'!F7</f>
        <v>2014</v>
      </c>
      <c r="G8" s="174">
        <f>+'DCF - Assumptions'!G7</f>
        <v>2015</v>
      </c>
      <c r="H8" s="174">
        <f>+'DCF - Assumptions'!H7</f>
        <v>2016</v>
      </c>
      <c r="I8" s="174">
        <f>+'DCF - Assumptions'!I7</f>
        <v>2017</v>
      </c>
      <c r="J8" s="174">
        <f>+'DCF - Assumptions'!J7</f>
        <v>2018</v>
      </c>
      <c r="K8" s="174">
        <f>+'DCF - Assumptions'!K7</f>
        <v>2019</v>
      </c>
      <c r="L8" s="174">
        <f>+'DCF - Assumptions'!L7</f>
        <v>2020</v>
      </c>
      <c r="M8" s="174">
        <f>+'DCF - Assumptions'!M7</f>
        <v>2021</v>
      </c>
      <c r="N8" s="174">
        <f>+'DCF - Assumptions'!N7</f>
        <v>2022</v>
      </c>
      <c r="O8" s="174">
        <f>+'DCF - Assumptions'!O7</f>
        <v>2023</v>
      </c>
      <c r="P8" s="174">
        <f>+'DCF - Assumptions'!P7</f>
        <v>2024</v>
      </c>
      <c r="Q8" s="174">
        <f>+'DCF - Assumptions'!Q7</f>
        <v>2025</v>
      </c>
      <c r="R8" s="174">
        <f>+'DCF - Assumptions'!R7</f>
        <v>2026</v>
      </c>
      <c r="T8" s="51"/>
      <c r="U8" s="454"/>
    </row>
    <row r="9" spans="1:98" ht="12.6" customHeight="1">
      <c r="A9" s="30"/>
      <c r="B9" s="24" t="s">
        <v>315</v>
      </c>
      <c r="F9" s="170">
        <v>4806.2259999999997</v>
      </c>
      <c r="G9" s="170">
        <v>4191.6000000000004</v>
      </c>
      <c r="H9" s="170">
        <v>4147.1000000000004</v>
      </c>
      <c r="I9" s="170">
        <v>4114.7</v>
      </c>
      <c r="J9" s="170">
        <v>4221.5</v>
      </c>
      <c r="K9" s="67"/>
      <c r="L9" s="67"/>
      <c r="M9" s="67"/>
      <c r="N9" s="67"/>
      <c r="O9" s="67"/>
      <c r="P9" s="67"/>
      <c r="Q9" s="67"/>
      <c r="R9" s="67"/>
      <c r="T9" s="61">
        <f>IF(NOT(ISBLANK(B9)), 1, 0)</f>
        <v>1</v>
      </c>
      <c r="U9" s="454">
        <v>1</v>
      </c>
    </row>
    <row r="10" spans="1:98" ht="13.05" customHeight="1">
      <c r="A10" s="30"/>
      <c r="B10" s="24" t="s">
        <v>316</v>
      </c>
      <c r="F10" s="170">
        <v>0</v>
      </c>
      <c r="G10" s="170">
        <v>0</v>
      </c>
      <c r="H10" s="170">
        <v>0</v>
      </c>
      <c r="I10" s="170">
        <v>0</v>
      </c>
      <c r="J10" s="170">
        <v>1284.7</v>
      </c>
      <c r="K10" s="67"/>
      <c r="L10" s="67"/>
      <c r="M10" s="67"/>
      <c r="N10" s="67"/>
      <c r="O10" s="67"/>
      <c r="P10" s="67"/>
      <c r="Q10" s="67"/>
      <c r="R10" s="67"/>
      <c r="T10" s="61">
        <f t="shared" ref="T10:T73" si="0">IF(NOT(ISBLANK(B10)), 1, 0)</f>
        <v>1</v>
      </c>
      <c r="U10" s="454">
        <v>1</v>
      </c>
    </row>
    <row r="11" spans="1:98" ht="13.05" customHeight="1">
      <c r="A11" s="30"/>
      <c r="B11" s="164" t="s">
        <v>317</v>
      </c>
      <c r="F11" s="170">
        <v>0</v>
      </c>
      <c r="G11" s="170">
        <v>0</v>
      </c>
      <c r="H11" s="170">
        <v>344.7</v>
      </c>
      <c r="I11" s="170">
        <v>373.6</v>
      </c>
      <c r="J11" s="170">
        <v>373.8</v>
      </c>
      <c r="K11" s="67"/>
      <c r="L11" s="67"/>
      <c r="M11" s="67"/>
      <c r="N11" s="67"/>
      <c r="O11" s="67"/>
      <c r="P11" s="67"/>
      <c r="Q11" s="67"/>
      <c r="R11" s="67"/>
      <c r="T11" s="61">
        <f t="shared" si="0"/>
        <v>1</v>
      </c>
      <c r="U11" s="454">
        <v>1</v>
      </c>
    </row>
    <row r="12" spans="1:98" ht="13.05" customHeight="1">
      <c r="A12" s="30"/>
      <c r="B12" s="171" t="s">
        <v>64</v>
      </c>
      <c r="C12" s="43"/>
      <c r="D12" s="43"/>
      <c r="E12" s="43"/>
      <c r="F12" s="163">
        <f t="shared" ref="F12:G12" si="1">SUM(F9:F11)</f>
        <v>4806.2259999999997</v>
      </c>
      <c r="G12" s="163">
        <f t="shared" si="1"/>
        <v>4191.6000000000004</v>
      </c>
      <c r="H12" s="163">
        <f>SUM(H9:H11)</f>
        <v>4491.8</v>
      </c>
      <c r="I12" s="163">
        <f t="shared" ref="I12:J12" si="2">SUM(I9:I11)</f>
        <v>4488.3</v>
      </c>
      <c r="J12" s="163">
        <f t="shared" si="2"/>
        <v>5880</v>
      </c>
      <c r="K12" s="162"/>
      <c r="L12" s="162"/>
      <c r="M12" s="162"/>
      <c r="N12" s="162"/>
      <c r="O12" s="162"/>
      <c r="P12" s="162"/>
      <c r="Q12" s="162"/>
      <c r="R12" s="162"/>
      <c r="T12" s="61">
        <f t="shared" si="0"/>
        <v>1</v>
      </c>
      <c r="U12" s="454">
        <v>1</v>
      </c>
    </row>
    <row r="13" spans="1:98" ht="13.05" customHeight="1">
      <c r="A13" s="30"/>
      <c r="F13" s="173"/>
      <c r="G13" s="173"/>
      <c r="H13" s="173"/>
      <c r="I13" s="173"/>
      <c r="J13" s="172"/>
      <c r="K13" s="58"/>
      <c r="L13" s="443"/>
      <c r="M13" s="443"/>
      <c r="N13" s="443"/>
      <c r="O13" s="443"/>
      <c r="P13" s="443"/>
      <c r="Q13" s="443"/>
      <c r="R13" s="443"/>
      <c r="T13" s="61">
        <f t="shared" si="0"/>
        <v>0</v>
      </c>
      <c r="U13" s="454">
        <v>0</v>
      </c>
    </row>
    <row r="14" spans="1:98" ht="13.05" customHeight="1">
      <c r="A14" s="30"/>
      <c r="B14" s="24" t="s">
        <v>319</v>
      </c>
      <c r="F14" s="170">
        <v>-1509.2629999999999</v>
      </c>
      <c r="G14" s="170">
        <v>-1283</v>
      </c>
      <c r="H14" s="170">
        <v>-1298.2</v>
      </c>
      <c r="I14" s="170">
        <v>-1259.7</v>
      </c>
      <c r="J14" s="170">
        <v>-1290</v>
      </c>
      <c r="K14" s="67"/>
      <c r="L14" s="67"/>
      <c r="M14" s="67"/>
      <c r="N14" s="67"/>
      <c r="O14" s="67"/>
      <c r="P14" s="67"/>
      <c r="Q14" s="67"/>
      <c r="R14" s="67"/>
      <c r="T14" s="61">
        <f t="shared" si="0"/>
        <v>1</v>
      </c>
      <c r="U14" s="454">
        <v>1</v>
      </c>
    </row>
    <row r="15" spans="1:98" ht="13.05" customHeight="1">
      <c r="A15" s="30"/>
      <c r="B15" s="24" t="s">
        <v>320</v>
      </c>
      <c r="C15" s="4"/>
      <c r="D15" s="4"/>
      <c r="E15" s="4"/>
      <c r="F15" s="170">
        <v>0</v>
      </c>
      <c r="G15" s="170">
        <v>0</v>
      </c>
      <c r="H15" s="170">
        <v>0</v>
      </c>
      <c r="I15" s="170">
        <v>0</v>
      </c>
      <c r="J15" s="170">
        <v>-573.6</v>
      </c>
      <c r="K15" s="67"/>
      <c r="L15" s="67"/>
      <c r="M15" s="67"/>
      <c r="N15" s="67"/>
      <c r="O15" s="67"/>
      <c r="P15" s="67"/>
      <c r="Q15" s="67"/>
      <c r="R15" s="67"/>
      <c r="T15" s="61">
        <f t="shared" si="0"/>
        <v>1</v>
      </c>
      <c r="U15" s="454">
        <v>1</v>
      </c>
    </row>
    <row r="16" spans="1:98" ht="13.05" customHeight="1">
      <c r="A16" s="30"/>
      <c r="B16" s="164" t="s">
        <v>321</v>
      </c>
      <c r="C16" s="4"/>
      <c r="D16" s="4"/>
      <c r="E16" s="4"/>
      <c r="F16" s="170">
        <v>0</v>
      </c>
      <c r="G16" s="170">
        <v>0</v>
      </c>
      <c r="H16" s="170">
        <v>-142.30000000000001</v>
      </c>
      <c r="I16" s="170">
        <v>-147.5</v>
      </c>
      <c r="J16" s="170">
        <v>-162.5</v>
      </c>
      <c r="K16" s="67"/>
      <c r="L16" s="67"/>
      <c r="M16" s="67"/>
      <c r="N16" s="67"/>
      <c r="O16" s="67"/>
      <c r="P16" s="67"/>
      <c r="Q16" s="67"/>
      <c r="R16" s="67"/>
      <c r="T16" s="61">
        <f t="shared" si="0"/>
        <v>1</v>
      </c>
      <c r="U16" s="454">
        <v>1</v>
      </c>
    </row>
    <row r="17" spans="1:21" ht="13.05" customHeight="1">
      <c r="A17" s="30"/>
      <c r="B17" s="171" t="s">
        <v>120</v>
      </c>
      <c r="C17" s="43"/>
      <c r="D17" s="43"/>
      <c r="E17" s="43"/>
      <c r="F17" s="163">
        <f t="shared" ref="F17:G17" si="3">SUM(F14:F16)</f>
        <v>-1509.2629999999999</v>
      </c>
      <c r="G17" s="163">
        <f t="shared" si="3"/>
        <v>-1283</v>
      </c>
      <c r="H17" s="163">
        <f>SUM(H14:H16)</f>
        <v>-1440.5</v>
      </c>
      <c r="I17" s="163">
        <f t="shared" ref="I17:J17" si="4">SUM(I14:I16)</f>
        <v>-1407.2</v>
      </c>
      <c r="J17" s="163">
        <f t="shared" si="4"/>
        <v>-2026.1</v>
      </c>
      <c r="K17" s="162"/>
      <c r="L17" s="162"/>
      <c r="M17" s="162"/>
      <c r="N17" s="162"/>
      <c r="O17" s="162"/>
      <c r="P17" s="162"/>
      <c r="Q17" s="162"/>
      <c r="R17" s="162"/>
      <c r="T17" s="61">
        <f t="shared" si="0"/>
        <v>1</v>
      </c>
      <c r="U17" s="454">
        <v>1</v>
      </c>
    </row>
    <row r="18" spans="1:21" s="62" customFormat="1" ht="13.05" customHeight="1">
      <c r="A18" s="30"/>
      <c r="B18" s="33"/>
      <c r="F18" s="8"/>
      <c r="G18" s="8"/>
      <c r="H18" s="228"/>
      <c r="I18" s="228"/>
      <c r="J18" s="228"/>
      <c r="K18" s="8"/>
      <c r="L18" s="8"/>
      <c r="M18" s="8"/>
      <c r="N18" s="8"/>
      <c r="O18" s="8"/>
      <c r="P18" s="8"/>
      <c r="Q18" s="8"/>
      <c r="R18" s="8"/>
      <c r="T18" s="61">
        <f t="shared" si="0"/>
        <v>0</v>
      </c>
      <c r="U18" s="454">
        <v>0</v>
      </c>
    </row>
    <row r="19" spans="1:21" ht="13.05" customHeight="1">
      <c r="A19" s="30"/>
      <c r="B19" s="24" t="s">
        <v>322</v>
      </c>
      <c r="C19" s="4"/>
      <c r="D19" s="4"/>
      <c r="E19" s="4"/>
      <c r="F19" s="170">
        <v>-1865.3082766705745</v>
      </c>
      <c r="G19" s="170">
        <v>-1962.7436853884685</v>
      </c>
      <c r="H19" s="170">
        <v>-1824.5</v>
      </c>
      <c r="I19" s="170">
        <v>-1815</v>
      </c>
      <c r="J19" s="170">
        <v>-1847.3</v>
      </c>
      <c r="K19" s="67"/>
      <c r="L19" s="67"/>
      <c r="M19" s="67"/>
      <c r="N19" s="67"/>
      <c r="O19" s="67"/>
      <c r="P19" s="67"/>
      <c r="Q19" s="67"/>
      <c r="R19" s="67"/>
      <c r="T19" s="61">
        <f t="shared" si="0"/>
        <v>1</v>
      </c>
      <c r="U19" s="454">
        <v>1</v>
      </c>
    </row>
    <row r="20" spans="1:21" ht="13.05" customHeight="1">
      <c r="A20" s="30"/>
      <c r="B20" s="24" t="s">
        <v>323</v>
      </c>
      <c r="C20" s="4"/>
      <c r="D20" s="4"/>
      <c r="E20" s="4"/>
      <c r="F20" s="170">
        <v>0</v>
      </c>
      <c r="G20" s="170">
        <v>0</v>
      </c>
      <c r="H20" s="170">
        <v>0</v>
      </c>
      <c r="I20" s="170">
        <v>0</v>
      </c>
      <c r="J20" s="170">
        <v>-773</v>
      </c>
      <c r="K20" s="67"/>
      <c r="L20" s="67"/>
      <c r="M20" s="67"/>
      <c r="N20" s="67"/>
      <c r="O20" s="67"/>
      <c r="P20" s="67"/>
      <c r="Q20" s="67"/>
      <c r="R20" s="67"/>
      <c r="T20" s="61">
        <f t="shared" si="0"/>
        <v>1</v>
      </c>
      <c r="U20" s="454">
        <v>1</v>
      </c>
    </row>
    <row r="21" spans="1:21" ht="13.05" customHeight="1">
      <c r="A21" s="30"/>
      <c r="B21" s="164" t="s">
        <v>324</v>
      </c>
      <c r="C21" s="4"/>
      <c r="D21" s="4"/>
      <c r="E21" s="4"/>
      <c r="F21" s="170">
        <v>0</v>
      </c>
      <c r="G21" s="170">
        <v>0</v>
      </c>
      <c r="H21" s="170">
        <v>-169.9</v>
      </c>
      <c r="I21" s="170">
        <v>-210.6</v>
      </c>
      <c r="J21" s="170">
        <v>-213.9</v>
      </c>
      <c r="K21" s="67"/>
      <c r="L21" s="67"/>
      <c r="M21" s="67"/>
      <c r="N21" s="67"/>
      <c r="O21" s="67"/>
      <c r="P21" s="67"/>
      <c r="Q21" s="67"/>
      <c r="R21" s="67"/>
      <c r="T21" s="61">
        <f t="shared" si="0"/>
        <v>1</v>
      </c>
      <c r="U21" s="454">
        <v>1</v>
      </c>
    </row>
    <row r="22" spans="1:21" ht="13.05" customHeight="1">
      <c r="A22" s="30"/>
      <c r="B22" s="169" t="s">
        <v>318</v>
      </c>
      <c r="C22" s="4"/>
      <c r="D22" s="4"/>
      <c r="E22" s="4"/>
      <c r="F22" s="170">
        <v>-311.58072332942561</v>
      </c>
      <c r="G22" s="170">
        <v>-327.85631461153139</v>
      </c>
      <c r="H22" s="170">
        <v>-403.4</v>
      </c>
      <c r="I22" s="170">
        <v>-268.10000000000002</v>
      </c>
      <c r="J22" s="170">
        <v>-348.9</v>
      </c>
      <c r="K22" s="67"/>
      <c r="L22" s="67"/>
      <c r="M22" s="67"/>
      <c r="N22" s="67"/>
      <c r="O22" s="67"/>
      <c r="P22" s="67"/>
      <c r="Q22" s="67"/>
      <c r="R22" s="67"/>
      <c r="T22" s="61">
        <f t="shared" si="0"/>
        <v>1</v>
      </c>
      <c r="U22" s="454">
        <v>1</v>
      </c>
    </row>
    <row r="23" spans="1:21" ht="13.05" customHeight="1">
      <c r="A23" s="30"/>
      <c r="B23" s="171" t="s">
        <v>331</v>
      </c>
      <c r="C23" s="43"/>
      <c r="D23" s="43"/>
      <c r="E23" s="43"/>
      <c r="F23" s="163">
        <f t="shared" ref="F23" si="5">SUM(F19:F22)</f>
        <v>-2176.8890000000001</v>
      </c>
      <c r="G23" s="163">
        <f t="shared" ref="G23" si="6">SUM(G19:G22)</f>
        <v>-2290.6</v>
      </c>
      <c r="H23" s="163">
        <f t="shared" ref="H23:I23" si="7">SUM(H19:H22)</f>
        <v>-2397.8000000000002</v>
      </c>
      <c r="I23" s="163">
        <f t="shared" si="7"/>
        <v>-2293.6999999999998</v>
      </c>
      <c r="J23" s="163">
        <f>SUM(J19:J22)</f>
        <v>-3183.1000000000004</v>
      </c>
      <c r="K23" s="162"/>
      <c r="L23" s="162"/>
      <c r="M23" s="162"/>
      <c r="N23" s="162"/>
      <c r="O23" s="162"/>
      <c r="P23" s="162"/>
      <c r="Q23" s="162"/>
      <c r="R23" s="162"/>
      <c r="T23" s="61">
        <f t="shared" si="0"/>
        <v>1</v>
      </c>
      <c r="U23" s="454">
        <v>1</v>
      </c>
    </row>
    <row r="24" spans="1:21" s="62" customFormat="1" ht="13.05" customHeight="1">
      <c r="A24" s="30"/>
      <c r="B24" s="33"/>
      <c r="F24" s="8"/>
      <c r="G24" s="8"/>
      <c r="H24" s="8"/>
      <c r="I24" s="8"/>
      <c r="J24" s="8"/>
      <c r="K24" s="8"/>
      <c r="L24" s="8"/>
      <c r="M24" s="8"/>
      <c r="N24" s="8"/>
      <c r="O24" s="8"/>
      <c r="P24" s="8"/>
      <c r="Q24" s="8"/>
      <c r="R24" s="8"/>
      <c r="T24" s="61">
        <f t="shared" si="0"/>
        <v>0</v>
      </c>
      <c r="U24" s="454">
        <v>0</v>
      </c>
    </row>
    <row r="25" spans="1:21" ht="13.05" customHeight="1">
      <c r="A25" s="30"/>
      <c r="B25" s="24" t="s">
        <v>325</v>
      </c>
      <c r="C25" s="4"/>
      <c r="D25" s="4"/>
      <c r="E25" s="4"/>
      <c r="F25" s="164">
        <f t="shared" ref="F25:J25" si="8">F9+F14+F19</f>
        <v>1431.6547233294252</v>
      </c>
      <c r="G25" s="164">
        <f t="shared" si="8"/>
        <v>945.85631461153184</v>
      </c>
      <c r="H25" s="164">
        <f t="shared" si="8"/>
        <v>1024.4000000000005</v>
      </c>
      <c r="I25" s="164">
        <f t="shared" si="8"/>
        <v>1040</v>
      </c>
      <c r="J25" s="164">
        <f t="shared" si="8"/>
        <v>1084.2</v>
      </c>
      <c r="K25" s="67"/>
      <c r="L25" s="67"/>
      <c r="M25" s="67"/>
      <c r="N25" s="67"/>
      <c r="O25" s="67"/>
      <c r="P25" s="67"/>
      <c r="Q25" s="67"/>
      <c r="R25" s="67"/>
      <c r="T25" s="61">
        <f t="shared" si="0"/>
        <v>1</v>
      </c>
      <c r="U25" s="454">
        <v>1</v>
      </c>
    </row>
    <row r="26" spans="1:21" ht="13.05" customHeight="1">
      <c r="A26" s="30"/>
      <c r="B26" s="24" t="s">
        <v>326</v>
      </c>
      <c r="C26" s="4"/>
      <c r="D26" s="4"/>
      <c r="E26" s="4"/>
      <c r="F26" s="164">
        <f t="shared" ref="F26:J26" si="9">F10+F15+F20</f>
        <v>0</v>
      </c>
      <c r="G26" s="164">
        <f t="shared" si="9"/>
        <v>0</v>
      </c>
      <c r="H26" s="164">
        <f t="shared" si="9"/>
        <v>0</v>
      </c>
      <c r="I26" s="164">
        <f t="shared" si="9"/>
        <v>0</v>
      </c>
      <c r="J26" s="164">
        <f t="shared" si="9"/>
        <v>-61.899999999999977</v>
      </c>
      <c r="K26" s="67"/>
      <c r="L26" s="67"/>
      <c r="M26" s="67"/>
      <c r="N26" s="67"/>
      <c r="O26" s="67"/>
      <c r="P26" s="67"/>
      <c r="Q26" s="67"/>
      <c r="R26" s="67"/>
      <c r="T26" s="61">
        <f t="shared" si="0"/>
        <v>1</v>
      </c>
      <c r="U26" s="454">
        <v>1</v>
      </c>
    </row>
    <row r="27" spans="1:21" ht="13.05" customHeight="1">
      <c r="A27" s="30"/>
      <c r="B27" s="164" t="s">
        <v>327</v>
      </c>
      <c r="C27" s="4"/>
      <c r="D27" s="4"/>
      <c r="E27" s="4"/>
      <c r="F27" s="164">
        <f t="shared" ref="F27:J27" si="10">F11+F16+F21</f>
        <v>0</v>
      </c>
      <c r="G27" s="164">
        <f t="shared" si="10"/>
        <v>0</v>
      </c>
      <c r="H27" s="164">
        <f t="shared" si="10"/>
        <v>32.499999999999972</v>
      </c>
      <c r="I27" s="164">
        <f t="shared" si="10"/>
        <v>15.500000000000028</v>
      </c>
      <c r="J27" s="164">
        <f t="shared" si="10"/>
        <v>-2.5999999999999943</v>
      </c>
      <c r="K27" s="67"/>
      <c r="L27" s="67"/>
      <c r="M27" s="67"/>
      <c r="N27" s="67"/>
      <c r="O27" s="67"/>
      <c r="P27" s="67"/>
      <c r="Q27" s="67"/>
      <c r="R27" s="67"/>
      <c r="T27" s="61">
        <f t="shared" si="0"/>
        <v>1</v>
      </c>
      <c r="U27" s="454">
        <v>1</v>
      </c>
    </row>
    <row r="28" spans="1:21" ht="13.05" customHeight="1">
      <c r="A28" s="30"/>
      <c r="B28" s="169" t="s">
        <v>318</v>
      </c>
      <c r="C28" s="4"/>
      <c r="D28" s="4"/>
      <c r="E28" s="4"/>
      <c r="F28" s="164">
        <f t="shared" ref="F28:J28" si="11">F22</f>
        <v>-311.58072332942561</v>
      </c>
      <c r="G28" s="164">
        <f t="shared" si="11"/>
        <v>-327.85631461153139</v>
      </c>
      <c r="H28" s="164">
        <f t="shared" si="11"/>
        <v>-403.4</v>
      </c>
      <c r="I28" s="164">
        <f t="shared" si="11"/>
        <v>-268.10000000000002</v>
      </c>
      <c r="J28" s="164">
        <f t="shared" si="11"/>
        <v>-348.9</v>
      </c>
      <c r="K28" s="67"/>
      <c r="L28" s="67"/>
      <c r="M28" s="67"/>
      <c r="N28" s="67"/>
      <c r="O28" s="67"/>
      <c r="P28" s="67"/>
      <c r="Q28" s="67"/>
      <c r="R28" s="67"/>
      <c r="T28" s="61">
        <f t="shared" si="0"/>
        <v>1</v>
      </c>
      <c r="U28" s="454">
        <v>1</v>
      </c>
    </row>
    <row r="29" spans="1:21" ht="13.05" customHeight="1">
      <c r="A29" s="30"/>
      <c r="B29" s="168" t="s">
        <v>62</v>
      </c>
      <c r="C29" s="166"/>
      <c r="D29" s="166"/>
      <c r="E29" s="166"/>
      <c r="F29" s="163">
        <f>SUM(F25:F28)</f>
        <v>1120.0739999999996</v>
      </c>
      <c r="G29" s="163">
        <f t="shared" ref="G29:J29" si="12">SUM(G25:G28)</f>
        <v>618.00000000000045</v>
      </c>
      <c r="H29" s="163">
        <f t="shared" si="12"/>
        <v>653.50000000000057</v>
      </c>
      <c r="I29" s="163">
        <f t="shared" si="12"/>
        <v>787.4</v>
      </c>
      <c r="J29" s="163">
        <f t="shared" si="12"/>
        <v>670.80000000000007</v>
      </c>
      <c r="K29" s="162"/>
      <c r="L29" s="162"/>
      <c r="M29" s="162"/>
      <c r="N29" s="162"/>
      <c r="O29" s="162"/>
      <c r="P29" s="162"/>
      <c r="Q29" s="162"/>
      <c r="R29" s="162"/>
      <c r="T29" s="61">
        <f t="shared" si="0"/>
        <v>1</v>
      </c>
      <c r="U29" s="454">
        <v>1</v>
      </c>
    </row>
    <row r="30" spans="1:21">
      <c r="T30" s="61">
        <f t="shared" si="0"/>
        <v>0</v>
      </c>
      <c r="U30" s="454">
        <v>0</v>
      </c>
    </row>
    <row r="31" spans="1:21" ht="13.05" customHeight="1">
      <c r="A31" s="30"/>
      <c r="B31" s="165" t="s">
        <v>328</v>
      </c>
      <c r="C31" s="3"/>
      <c r="D31" s="3"/>
      <c r="E31" s="3"/>
      <c r="F31" s="444">
        <f>F56</f>
        <v>189.4</v>
      </c>
      <c r="G31" s="444">
        <f t="shared" ref="G31:J31" si="13">G56</f>
        <v>191.8</v>
      </c>
      <c r="H31" s="164">
        <f t="shared" si="13"/>
        <v>210.6</v>
      </c>
      <c r="I31" s="164">
        <f t="shared" si="13"/>
        <v>212.8</v>
      </c>
      <c r="J31" s="164">
        <f t="shared" si="13"/>
        <v>260.3</v>
      </c>
      <c r="K31" s="67"/>
      <c r="L31" s="67"/>
      <c r="M31" s="67"/>
      <c r="N31" s="67"/>
      <c r="O31" s="67"/>
      <c r="P31" s="67"/>
      <c r="Q31" s="67"/>
      <c r="R31" s="67"/>
      <c r="T31" s="61">
        <f t="shared" si="0"/>
        <v>1</v>
      </c>
      <c r="U31" s="454">
        <v>1</v>
      </c>
    </row>
    <row r="32" spans="1:21" ht="13.05" customHeight="1">
      <c r="A32" s="30"/>
      <c r="B32" s="165" t="s">
        <v>119</v>
      </c>
      <c r="C32" s="3"/>
      <c r="D32" s="3"/>
      <c r="E32" s="3"/>
      <c r="F32" s="164">
        <f>F57</f>
        <v>83.6</v>
      </c>
      <c r="G32" s="164">
        <f t="shared" ref="G32:J32" si="14">G57</f>
        <v>94.5</v>
      </c>
      <c r="H32" s="164">
        <f t="shared" si="14"/>
        <v>95.8</v>
      </c>
      <c r="I32" s="164">
        <f t="shared" si="14"/>
        <v>77.399999999999991</v>
      </c>
      <c r="J32" s="164">
        <f t="shared" si="14"/>
        <v>81.3</v>
      </c>
      <c r="K32" s="67"/>
      <c r="L32" s="67"/>
      <c r="M32" s="67"/>
      <c r="N32" s="67"/>
      <c r="O32" s="67"/>
      <c r="P32" s="67"/>
      <c r="Q32" s="67"/>
      <c r="R32" s="67"/>
      <c r="T32" s="61">
        <f t="shared" si="0"/>
        <v>1</v>
      </c>
      <c r="U32" s="454">
        <v>1</v>
      </c>
    </row>
    <row r="33" spans="1:21" ht="13.05" customHeight="1">
      <c r="A33" s="30"/>
      <c r="B33" s="165" t="s">
        <v>314</v>
      </c>
      <c r="C33" s="3"/>
      <c r="D33" s="3"/>
      <c r="E33" s="3"/>
      <c r="F33" s="164">
        <f>F58</f>
        <v>108.2</v>
      </c>
      <c r="G33" s="164">
        <f t="shared" ref="G33:J33" si="15">G58</f>
        <v>59.7</v>
      </c>
      <c r="H33" s="164">
        <f t="shared" si="15"/>
        <v>17.7</v>
      </c>
      <c r="I33" s="164">
        <f t="shared" si="15"/>
        <v>8.5</v>
      </c>
      <c r="J33" s="164">
        <f t="shared" si="15"/>
        <v>134.9</v>
      </c>
      <c r="K33" s="67"/>
      <c r="L33" s="67"/>
      <c r="M33" s="67"/>
      <c r="N33" s="67"/>
      <c r="O33" s="67"/>
      <c r="P33" s="67"/>
      <c r="Q33" s="67"/>
      <c r="R33" s="67"/>
      <c r="T33" s="61">
        <f t="shared" si="0"/>
        <v>1</v>
      </c>
      <c r="U33" s="454">
        <v>1</v>
      </c>
    </row>
    <row r="34" spans="1:21" ht="13.05" customHeight="1">
      <c r="A34" s="30"/>
      <c r="B34" s="167" t="s">
        <v>329</v>
      </c>
      <c r="C34" s="166"/>
      <c r="D34" s="166"/>
      <c r="E34" s="166"/>
      <c r="F34" s="163">
        <f t="shared" ref="F34:J34" si="16">F29+SUM(F30:F33)</f>
        <v>1501.2739999999997</v>
      </c>
      <c r="G34" s="163">
        <f t="shared" si="16"/>
        <v>964.00000000000045</v>
      </c>
      <c r="H34" s="163">
        <f t="shared" si="16"/>
        <v>977.60000000000059</v>
      </c>
      <c r="I34" s="163">
        <f t="shared" si="16"/>
        <v>1086.0999999999999</v>
      </c>
      <c r="J34" s="163">
        <f t="shared" si="16"/>
        <v>1147.3000000000002</v>
      </c>
      <c r="K34" s="162"/>
      <c r="L34" s="162"/>
      <c r="M34" s="162"/>
      <c r="N34" s="162"/>
      <c r="O34" s="162"/>
      <c r="P34" s="162"/>
      <c r="Q34" s="162"/>
      <c r="R34" s="162"/>
      <c r="T34" s="61">
        <f t="shared" si="0"/>
        <v>1</v>
      </c>
      <c r="U34" s="454">
        <v>1</v>
      </c>
    </row>
    <row r="35" spans="1:21" ht="13.05" customHeight="1">
      <c r="A35" s="30"/>
      <c r="B35" s="446" t="s">
        <v>118</v>
      </c>
      <c r="C35" s="4"/>
      <c r="D35" s="4"/>
      <c r="E35" s="4"/>
      <c r="F35" s="8">
        <f t="shared" ref="F35:J35" si="17">SUM(F34:F34)</f>
        <v>1501.2739999999997</v>
      </c>
      <c r="G35" s="8">
        <f t="shared" si="17"/>
        <v>964.00000000000045</v>
      </c>
      <c r="H35" s="8">
        <f t="shared" si="17"/>
        <v>977.60000000000059</v>
      </c>
      <c r="I35" s="8">
        <f t="shared" si="17"/>
        <v>1086.0999999999999</v>
      </c>
      <c r="J35" s="8">
        <f t="shared" si="17"/>
        <v>1147.3000000000002</v>
      </c>
      <c r="K35" s="91"/>
      <c r="L35" s="91"/>
      <c r="M35" s="91"/>
      <c r="N35" s="91"/>
      <c r="O35" s="91"/>
      <c r="P35" s="91"/>
      <c r="Q35" s="91"/>
      <c r="R35" s="91"/>
      <c r="T35" s="61">
        <f t="shared" si="0"/>
        <v>1</v>
      </c>
      <c r="U35" s="454">
        <v>1</v>
      </c>
    </row>
    <row r="36" spans="1:21" ht="13.05" customHeight="1">
      <c r="A36" s="30"/>
      <c r="B36" s="161"/>
      <c r="C36" s="4"/>
      <c r="D36" s="4"/>
      <c r="E36" s="4"/>
      <c r="F36" s="160"/>
      <c r="G36" s="160"/>
      <c r="H36" s="160"/>
      <c r="I36" s="160"/>
      <c r="J36" s="160"/>
      <c r="K36" s="160"/>
      <c r="L36" s="160"/>
      <c r="M36" s="160"/>
      <c r="N36" s="160"/>
      <c r="O36" s="160"/>
      <c r="P36" s="160"/>
      <c r="Q36" s="160"/>
      <c r="R36" s="160"/>
      <c r="T36" s="61">
        <f t="shared" si="0"/>
        <v>0</v>
      </c>
      <c r="U36" s="454">
        <v>0</v>
      </c>
    </row>
    <row r="37" spans="1:21" ht="13.05" customHeight="1">
      <c r="A37" s="30"/>
      <c r="B37" s="58" t="s">
        <v>117</v>
      </c>
      <c r="F37" s="68">
        <v>2.181</v>
      </c>
      <c r="G37" s="68">
        <v>-6.4</v>
      </c>
      <c r="H37" s="68">
        <v>-26.9</v>
      </c>
      <c r="I37" s="68">
        <v>-28.4</v>
      </c>
      <c r="J37" s="68">
        <v>-74</v>
      </c>
      <c r="K37" s="159"/>
      <c r="L37" s="159"/>
      <c r="M37" s="159"/>
      <c r="N37" s="159"/>
      <c r="O37" s="159"/>
      <c r="P37" s="159"/>
      <c r="Q37" s="159"/>
      <c r="R37" s="159"/>
      <c r="T37" s="61">
        <f t="shared" si="0"/>
        <v>1</v>
      </c>
      <c r="U37" s="454">
        <v>1</v>
      </c>
    </row>
    <row r="38" spans="1:21" ht="13.05" customHeight="1">
      <c r="A38" s="30"/>
      <c r="B38" s="58" t="s">
        <v>332</v>
      </c>
      <c r="F38" s="68"/>
      <c r="G38" s="68"/>
      <c r="H38" s="68"/>
      <c r="I38" s="68"/>
      <c r="J38" s="68"/>
      <c r="K38" s="158">
        <v>0</v>
      </c>
      <c r="L38" s="158">
        <v>0</v>
      </c>
      <c r="M38" s="158">
        <v>0</v>
      </c>
      <c r="N38" s="158">
        <v>0</v>
      </c>
      <c r="O38" s="158">
        <v>0</v>
      </c>
      <c r="P38" s="158">
        <v>0</v>
      </c>
      <c r="Q38" s="158">
        <v>0</v>
      </c>
      <c r="R38" s="158">
        <v>0</v>
      </c>
      <c r="T38" s="61">
        <f t="shared" si="0"/>
        <v>1</v>
      </c>
      <c r="U38" s="454">
        <v>1</v>
      </c>
    </row>
    <row r="39" spans="1:21" ht="13.05" customHeight="1">
      <c r="A39" s="30"/>
      <c r="B39" s="157" t="s">
        <v>116</v>
      </c>
      <c r="C39" s="43"/>
      <c r="D39" s="43"/>
      <c r="E39" s="43"/>
      <c r="F39" s="156">
        <f t="shared" ref="F39:J39" si="18">SUM(F37:F38,F29)</f>
        <v>1122.2549999999997</v>
      </c>
      <c r="G39" s="156">
        <f t="shared" si="18"/>
        <v>611.60000000000048</v>
      </c>
      <c r="H39" s="156">
        <f t="shared" si="18"/>
        <v>626.60000000000059</v>
      </c>
      <c r="I39" s="156">
        <f t="shared" si="18"/>
        <v>759</v>
      </c>
      <c r="J39" s="156">
        <f t="shared" si="18"/>
        <v>596.80000000000007</v>
      </c>
      <c r="K39" s="155"/>
      <c r="L39" s="155"/>
      <c r="M39" s="155"/>
      <c r="N39" s="155"/>
      <c r="O39" s="155"/>
      <c r="P39" s="155"/>
      <c r="Q39" s="155"/>
      <c r="R39" s="155"/>
      <c r="T39" s="61">
        <f t="shared" si="0"/>
        <v>1</v>
      </c>
      <c r="U39" s="454">
        <v>1</v>
      </c>
    </row>
    <row r="40" spans="1:21" ht="13.05" customHeight="1">
      <c r="A40" s="30"/>
      <c r="B40" s="62"/>
      <c r="C40" s="4"/>
      <c r="D40" s="4"/>
      <c r="E40" s="4"/>
      <c r="F40" s="154"/>
      <c r="G40" s="154"/>
      <c r="H40" s="154"/>
      <c r="I40" s="154"/>
      <c r="J40" s="154"/>
      <c r="K40" s="154"/>
      <c r="L40" s="154"/>
      <c r="M40" s="154"/>
      <c r="N40" s="154"/>
      <c r="O40" s="154"/>
      <c r="P40" s="154"/>
      <c r="Q40" s="154"/>
      <c r="R40" s="154"/>
      <c r="T40" s="61">
        <f t="shared" si="0"/>
        <v>0</v>
      </c>
      <c r="U40" s="454">
        <v>0</v>
      </c>
    </row>
    <row r="41" spans="1:21" ht="13.05" customHeight="1">
      <c r="A41" s="30"/>
      <c r="B41" s="153" t="s">
        <v>303</v>
      </c>
      <c r="C41" s="96"/>
      <c r="D41" s="96"/>
      <c r="E41" s="96"/>
      <c r="F41" s="152">
        <v>-340.91899999999998</v>
      </c>
      <c r="G41" s="152">
        <v>-209.2</v>
      </c>
      <c r="H41" s="152">
        <v>-166.1</v>
      </c>
      <c r="I41" s="152">
        <v>-168</v>
      </c>
      <c r="J41" s="152">
        <v>-199.3</v>
      </c>
      <c r="K41" s="151"/>
      <c r="L41" s="151"/>
      <c r="M41" s="151"/>
      <c r="N41" s="151"/>
      <c r="O41" s="151"/>
      <c r="P41" s="151"/>
      <c r="Q41" s="151"/>
      <c r="R41" s="151"/>
      <c r="T41" s="61">
        <f t="shared" si="0"/>
        <v>1</v>
      </c>
      <c r="U41" s="454">
        <v>1</v>
      </c>
    </row>
    <row r="42" spans="1:21" ht="13.05" customHeight="1">
      <c r="A42" s="30"/>
      <c r="B42" s="150" t="s">
        <v>108</v>
      </c>
      <c r="F42" s="8">
        <f t="shared" ref="F42:J42" si="19">SUM(F39:F41)</f>
        <v>781.33599999999967</v>
      </c>
      <c r="G42" s="8">
        <f t="shared" si="19"/>
        <v>402.40000000000049</v>
      </c>
      <c r="H42" s="8">
        <f t="shared" si="19"/>
        <v>460.50000000000057</v>
      </c>
      <c r="I42" s="8">
        <f t="shared" si="19"/>
        <v>591</v>
      </c>
      <c r="J42" s="8">
        <f t="shared" si="19"/>
        <v>397.50000000000006</v>
      </c>
      <c r="K42" s="91"/>
      <c r="L42" s="91"/>
      <c r="M42" s="91"/>
      <c r="N42" s="91"/>
      <c r="O42" s="91"/>
      <c r="P42" s="91"/>
      <c r="Q42" s="91"/>
      <c r="R42" s="91"/>
      <c r="T42" s="61">
        <f t="shared" si="0"/>
        <v>1</v>
      </c>
      <c r="U42" s="454">
        <v>1</v>
      </c>
    </row>
    <row r="43" spans="1:21" ht="13.05" customHeight="1">
      <c r="A43" s="30"/>
      <c r="B43" s="4"/>
      <c r="C43" s="4"/>
      <c r="D43" s="4"/>
      <c r="E43" s="4"/>
      <c r="F43" s="149"/>
      <c r="G43" s="149"/>
      <c r="H43" s="149"/>
      <c r="I43" s="149"/>
      <c r="J43" s="149"/>
      <c r="K43" s="62"/>
      <c r="L43" s="62"/>
      <c r="M43" s="62"/>
      <c r="N43" s="62"/>
      <c r="O43" s="62"/>
      <c r="P43" s="62"/>
      <c r="Q43" s="62"/>
      <c r="R43" s="62"/>
      <c r="T43" s="61">
        <f t="shared" si="0"/>
        <v>0</v>
      </c>
      <c r="U43" s="454">
        <v>0</v>
      </c>
    </row>
    <row r="44" spans="1:21" ht="13.05" customHeight="1">
      <c r="A44" s="30"/>
      <c r="B44" s="143" t="s">
        <v>115</v>
      </c>
      <c r="C44" s="142"/>
      <c r="D44" s="142"/>
      <c r="E44" s="142"/>
      <c r="F44" s="447">
        <v>277.79000000000002</v>
      </c>
      <c r="G44" s="447">
        <v>275.7</v>
      </c>
      <c r="H44" s="447">
        <v>277.60000000000002</v>
      </c>
      <c r="I44" s="447">
        <v>280.60000000000002</v>
      </c>
      <c r="J44" s="447">
        <v>285.39999999999998</v>
      </c>
      <c r="K44" s="148"/>
      <c r="L44" s="148"/>
      <c r="M44" s="148"/>
      <c r="N44" s="148"/>
      <c r="O44" s="148"/>
      <c r="P44" s="148"/>
      <c r="Q44" s="148"/>
      <c r="R44" s="147"/>
      <c r="T44" s="61">
        <f t="shared" si="0"/>
        <v>1</v>
      </c>
      <c r="U44" s="454">
        <v>1</v>
      </c>
    </row>
    <row r="45" spans="1:21" ht="13.05" customHeight="1">
      <c r="A45" s="30"/>
      <c r="B45" s="146" t="s">
        <v>114</v>
      </c>
      <c r="C45" s="132"/>
      <c r="D45" s="132"/>
      <c r="E45" s="132"/>
      <c r="F45" s="448">
        <v>280.37900000000002</v>
      </c>
      <c r="G45" s="448">
        <v>277.2</v>
      </c>
      <c r="H45" s="448">
        <v>279.3</v>
      </c>
      <c r="I45" s="448">
        <v>282.8</v>
      </c>
      <c r="J45" s="448">
        <v>288.60000000000002</v>
      </c>
      <c r="K45" s="145"/>
      <c r="L45" s="145"/>
      <c r="M45" s="145"/>
      <c r="N45" s="145"/>
      <c r="O45" s="145"/>
      <c r="P45" s="145"/>
      <c r="Q45" s="145"/>
      <c r="R45" s="144"/>
      <c r="T45" s="61">
        <f t="shared" si="0"/>
        <v>1</v>
      </c>
      <c r="U45" s="454">
        <v>1</v>
      </c>
    </row>
    <row r="46" spans="1:21" ht="13.05" customHeight="1">
      <c r="A46" s="30"/>
      <c r="B46" s="128"/>
      <c r="K46" s="58"/>
      <c r="L46" s="58"/>
      <c r="M46" s="58"/>
      <c r="N46" s="58"/>
      <c r="O46" s="58"/>
      <c r="P46" s="58"/>
      <c r="Q46" s="58"/>
      <c r="R46" s="58"/>
      <c r="T46" s="61">
        <f t="shared" si="0"/>
        <v>0</v>
      </c>
      <c r="U46" s="454">
        <v>0</v>
      </c>
    </row>
    <row r="47" spans="1:21" ht="13.05" customHeight="1">
      <c r="A47" s="30"/>
      <c r="B47" s="143" t="s">
        <v>113</v>
      </c>
      <c r="C47" s="142"/>
      <c r="D47" s="142"/>
      <c r="E47" s="142"/>
      <c r="F47" s="141">
        <f t="shared" ref="F47:J47" si="20">F42/F45</f>
        <v>2.7867136982441609</v>
      </c>
      <c r="G47" s="141">
        <f t="shared" si="20"/>
        <v>1.4516594516594534</v>
      </c>
      <c r="H47" s="141">
        <f t="shared" si="20"/>
        <v>1.6487647690655229</v>
      </c>
      <c r="I47" s="141">
        <f t="shared" si="20"/>
        <v>2.0898161244695896</v>
      </c>
      <c r="J47" s="141">
        <f t="shared" si="20"/>
        <v>1.3773388773388775</v>
      </c>
      <c r="K47" s="140"/>
      <c r="L47" s="140"/>
      <c r="M47" s="140"/>
      <c r="N47" s="140"/>
      <c r="O47" s="140"/>
      <c r="P47" s="140"/>
      <c r="Q47" s="140"/>
      <c r="R47" s="139"/>
      <c r="T47" s="61">
        <f t="shared" si="0"/>
        <v>1</v>
      </c>
      <c r="U47" s="454">
        <v>1</v>
      </c>
    </row>
    <row r="48" spans="1:21" ht="13.05" customHeight="1">
      <c r="B48" s="138" t="s">
        <v>112</v>
      </c>
      <c r="C48" s="137"/>
      <c r="D48" s="137"/>
      <c r="E48" s="137"/>
      <c r="F48" s="136">
        <f>-'DCF - Capital Structure'!F101/F45</f>
        <v>1.3428252472546089</v>
      </c>
      <c r="G48" s="136">
        <f>-'DCF - Capital Structure'!G101/G45</f>
        <v>1.3412698412698414</v>
      </c>
      <c r="H48" s="136">
        <f>-'DCF - Capital Structure'!H101/H45</f>
        <v>1.3408521303258145</v>
      </c>
      <c r="I48" s="136">
        <f>-'DCF - Capital Structure'!I101/I45</f>
        <v>1.3366336633663365</v>
      </c>
      <c r="J48" s="136">
        <f>-'DCF - Capital Structure'!J101/J45</f>
        <v>1.3309078309078308</v>
      </c>
      <c r="K48" s="135"/>
      <c r="L48" s="135"/>
      <c r="M48" s="135"/>
      <c r="N48" s="135"/>
      <c r="O48" s="135"/>
      <c r="P48" s="135"/>
      <c r="Q48" s="135"/>
      <c r="R48" s="134"/>
      <c r="T48" s="61">
        <f t="shared" si="0"/>
        <v>1</v>
      </c>
      <c r="U48" s="454">
        <v>1</v>
      </c>
    </row>
    <row r="49" spans="1:37" ht="13.05" customHeight="1">
      <c r="B49" s="133" t="s">
        <v>111</v>
      </c>
      <c r="C49" s="132"/>
      <c r="D49" s="132"/>
      <c r="E49" s="132"/>
      <c r="F49" s="131">
        <f>'DCF - Capital Structure'!F95/F45</f>
        <v>4.8285927262740778</v>
      </c>
      <c r="G49" s="131">
        <f>'DCF - Capital Structure'!G95/G45</f>
        <v>6.504689754689756</v>
      </c>
      <c r="H49" s="131">
        <f>'DCF - Capital Structure'!H95/H45</f>
        <v>4.3626924453992135</v>
      </c>
      <c r="I49" s="131">
        <f>'DCF - Capital Structure'!I95/I45</f>
        <v>9.780410183875528</v>
      </c>
      <c r="J49" s="131">
        <f>'DCF - Capital Structure'!J95/J45</f>
        <v>1.8277893277893291</v>
      </c>
      <c r="K49" s="130"/>
      <c r="L49" s="130"/>
      <c r="M49" s="130"/>
      <c r="N49" s="130"/>
      <c r="O49" s="130"/>
      <c r="P49" s="130"/>
      <c r="Q49" s="130"/>
      <c r="R49" s="129"/>
      <c r="T49" s="61">
        <f t="shared" si="0"/>
        <v>1</v>
      </c>
      <c r="U49" s="454">
        <v>1</v>
      </c>
    </row>
    <row r="50" spans="1:37" ht="13.05" customHeight="1">
      <c r="B50" s="128"/>
      <c r="T50" s="61">
        <f t="shared" si="0"/>
        <v>0</v>
      </c>
      <c r="U50" s="454">
        <v>0</v>
      </c>
    </row>
    <row r="51" spans="1:37" s="62" customFormat="1" ht="13.05" customHeight="1">
      <c r="A51" s="74"/>
      <c r="B51" s="735" t="s">
        <v>110</v>
      </c>
      <c r="C51" s="736"/>
      <c r="D51" s="736"/>
      <c r="E51" s="736"/>
      <c r="F51" s="736"/>
      <c r="G51" s="736"/>
      <c r="H51" s="736"/>
      <c r="I51" s="736"/>
      <c r="J51" s="736"/>
      <c r="K51" s="736"/>
      <c r="L51" s="736"/>
      <c r="M51" s="736"/>
      <c r="N51" s="736"/>
      <c r="O51" s="736"/>
      <c r="P51" s="736"/>
      <c r="Q51" s="736"/>
      <c r="R51" s="736"/>
      <c r="S51" s="4"/>
      <c r="T51" s="61">
        <f t="shared" si="0"/>
        <v>1</v>
      </c>
      <c r="U51" s="454">
        <v>1</v>
      </c>
      <c r="V51" s="29"/>
      <c r="W51" s="29"/>
      <c r="X51" s="29"/>
      <c r="Y51" s="29"/>
      <c r="Z51" s="29"/>
      <c r="AA51" s="29"/>
      <c r="AB51" s="29"/>
      <c r="AC51" s="29"/>
      <c r="AD51" s="29"/>
      <c r="AE51" s="29"/>
      <c r="AF51" s="29"/>
      <c r="AG51" s="29"/>
      <c r="AH51" s="29"/>
      <c r="AI51" s="29"/>
      <c r="AJ51" s="29"/>
      <c r="AK51" s="29"/>
    </row>
    <row r="52" spans="1:37" ht="13.05" customHeight="1">
      <c r="A52" s="4"/>
      <c r="B52" s="4"/>
      <c r="C52" s="4"/>
      <c r="D52" s="4"/>
      <c r="E52" s="4"/>
      <c r="F52" s="56"/>
      <c r="G52" s="56"/>
      <c r="H52" s="56"/>
      <c r="I52" s="55"/>
      <c r="J52" s="55"/>
      <c r="K52" s="95" t="str">
        <f>'DCF - Assumptions'!$K$6</f>
        <v>Projected Fiscal Years Ending December 31</v>
      </c>
      <c r="L52" s="95"/>
      <c r="M52" s="95"/>
      <c r="N52" s="95"/>
      <c r="O52" s="95"/>
      <c r="P52" s="95"/>
      <c r="Q52" s="95"/>
      <c r="R52" s="95"/>
      <c r="T52" s="61">
        <f t="shared" si="0"/>
        <v>0</v>
      </c>
      <c r="U52" s="454">
        <v>0</v>
      </c>
    </row>
    <row r="53" spans="1:37" ht="13.05" customHeight="1" thickBot="1">
      <c r="A53" s="4"/>
      <c r="B53" s="94"/>
      <c r="C53" s="94"/>
      <c r="D53" s="94"/>
      <c r="E53" s="94"/>
      <c r="F53" s="93">
        <f t="shared" ref="F53:R53" si="21">F$8</f>
        <v>2014</v>
      </c>
      <c r="G53" s="93">
        <f t="shared" si="21"/>
        <v>2015</v>
      </c>
      <c r="H53" s="93">
        <f t="shared" si="21"/>
        <v>2016</v>
      </c>
      <c r="I53" s="93">
        <f t="shared" si="21"/>
        <v>2017</v>
      </c>
      <c r="J53" s="93">
        <f t="shared" si="21"/>
        <v>2018</v>
      </c>
      <c r="K53" s="93">
        <f t="shared" si="21"/>
        <v>2019</v>
      </c>
      <c r="L53" s="93">
        <f t="shared" si="21"/>
        <v>2020</v>
      </c>
      <c r="M53" s="93">
        <f t="shared" si="21"/>
        <v>2021</v>
      </c>
      <c r="N53" s="93">
        <f t="shared" si="21"/>
        <v>2022</v>
      </c>
      <c r="O53" s="93">
        <f t="shared" si="21"/>
        <v>2023</v>
      </c>
      <c r="P53" s="93">
        <f t="shared" si="21"/>
        <v>2024</v>
      </c>
      <c r="Q53" s="93">
        <f t="shared" si="21"/>
        <v>2025</v>
      </c>
      <c r="R53" s="93">
        <f t="shared" si="21"/>
        <v>2026</v>
      </c>
      <c r="T53" s="61">
        <f t="shared" si="0"/>
        <v>0</v>
      </c>
      <c r="U53" s="454">
        <v>0</v>
      </c>
    </row>
    <row r="54" spans="1:37" s="62" customFormat="1" ht="13.05" customHeight="1">
      <c r="A54" s="85"/>
      <c r="B54" s="114" t="s">
        <v>109</v>
      </c>
      <c r="C54" s="85"/>
      <c r="D54" s="85"/>
      <c r="E54" s="85"/>
      <c r="F54" s="127"/>
      <c r="G54" s="68"/>
      <c r="H54" s="68"/>
      <c r="I54" s="68"/>
      <c r="J54" s="68"/>
      <c r="K54" s="107"/>
      <c r="L54" s="107"/>
      <c r="M54" s="107"/>
      <c r="N54" s="107"/>
      <c r="O54" s="107"/>
      <c r="P54" s="107"/>
      <c r="Q54" s="107"/>
      <c r="R54" s="107"/>
      <c r="S54" s="4"/>
      <c r="T54" s="61">
        <f t="shared" si="0"/>
        <v>1</v>
      </c>
      <c r="U54" s="454">
        <v>1</v>
      </c>
      <c r="V54" s="29"/>
      <c r="W54" s="29"/>
      <c r="X54" s="29"/>
      <c r="Y54" s="29"/>
      <c r="Z54" s="29"/>
      <c r="AA54" s="29"/>
      <c r="AB54" s="29"/>
      <c r="AC54" s="29"/>
      <c r="AD54" s="29"/>
      <c r="AE54" s="29"/>
      <c r="AF54" s="29"/>
      <c r="AG54" s="29"/>
      <c r="AH54" s="29"/>
      <c r="AI54" s="29"/>
      <c r="AJ54" s="29"/>
      <c r="AK54" s="29"/>
    </row>
    <row r="55" spans="1:37" s="62" customFormat="1" ht="13.05" customHeight="1">
      <c r="A55" s="85"/>
      <c r="B55" s="85" t="s">
        <v>108</v>
      </c>
      <c r="C55" s="85"/>
      <c r="D55" s="85"/>
      <c r="E55" s="85"/>
      <c r="F55" s="126">
        <f t="shared" ref="F55:J55" si="22">F42</f>
        <v>781.33599999999967</v>
      </c>
      <c r="G55" s="126">
        <f t="shared" si="22"/>
        <v>402.40000000000049</v>
      </c>
      <c r="H55" s="126">
        <f t="shared" si="22"/>
        <v>460.50000000000057</v>
      </c>
      <c r="I55" s="126">
        <f t="shared" si="22"/>
        <v>591</v>
      </c>
      <c r="J55" s="126">
        <f t="shared" si="22"/>
        <v>397.50000000000006</v>
      </c>
      <c r="K55" s="89"/>
      <c r="L55" s="89"/>
      <c r="M55" s="89"/>
      <c r="N55" s="89"/>
      <c r="O55" s="89"/>
      <c r="P55" s="89"/>
      <c r="Q55" s="89"/>
      <c r="R55" s="89"/>
      <c r="S55" s="4"/>
      <c r="T55" s="61">
        <f t="shared" si="0"/>
        <v>1</v>
      </c>
      <c r="U55" s="454">
        <v>1</v>
      </c>
      <c r="V55" s="29"/>
      <c r="W55" s="29"/>
      <c r="X55" s="29"/>
      <c r="Y55" s="29"/>
      <c r="Z55" s="29"/>
      <c r="AA55" s="29"/>
      <c r="AB55" s="29"/>
      <c r="AC55" s="29"/>
      <c r="AD55" s="29"/>
      <c r="AE55" s="29"/>
      <c r="AF55" s="29"/>
      <c r="AG55" s="29"/>
      <c r="AH55" s="29"/>
      <c r="AI55" s="29"/>
      <c r="AJ55" s="29"/>
      <c r="AK55" s="29"/>
    </row>
    <row r="56" spans="1:37" s="62" customFormat="1" ht="13.05" customHeight="1">
      <c r="A56" s="85"/>
      <c r="B56" s="85" t="s">
        <v>313</v>
      </c>
      <c r="C56" s="85"/>
      <c r="D56" s="85"/>
      <c r="E56" s="85"/>
      <c r="F56" s="76">
        <v>189.4</v>
      </c>
      <c r="G56" s="76">
        <v>191.8</v>
      </c>
      <c r="H56" s="76">
        <v>210.6</v>
      </c>
      <c r="I56" s="76">
        <v>212.8</v>
      </c>
      <c r="J56" s="76">
        <v>260.3</v>
      </c>
      <c r="K56" s="124"/>
      <c r="L56" s="125"/>
      <c r="M56" s="125"/>
      <c r="N56" s="125"/>
      <c r="O56" s="125"/>
      <c r="P56" s="125"/>
      <c r="Q56" s="125"/>
      <c r="R56" s="125"/>
      <c r="S56" s="4"/>
      <c r="T56" s="61">
        <f t="shared" si="0"/>
        <v>1</v>
      </c>
      <c r="U56" s="454">
        <v>1</v>
      </c>
      <c r="V56" s="29"/>
      <c r="W56" s="29"/>
      <c r="X56" s="29"/>
      <c r="Y56" s="29"/>
      <c r="Z56" s="29"/>
      <c r="AA56" s="29"/>
      <c r="AB56" s="29"/>
      <c r="AC56" s="29"/>
      <c r="AD56" s="29"/>
      <c r="AE56" s="29"/>
      <c r="AF56" s="29"/>
      <c r="AG56" s="29"/>
      <c r="AH56" s="29"/>
      <c r="AI56" s="29"/>
      <c r="AJ56" s="29"/>
      <c r="AK56" s="29"/>
    </row>
    <row r="57" spans="1:37" s="62" customFormat="1" ht="12" customHeight="1">
      <c r="A57" s="85"/>
      <c r="B57" s="85" t="s">
        <v>107</v>
      </c>
      <c r="C57" s="85"/>
      <c r="D57" s="85"/>
      <c r="E57" s="85"/>
      <c r="F57" s="76">
        <v>83.6</v>
      </c>
      <c r="G57" s="76">
        <v>94.5</v>
      </c>
      <c r="H57" s="76">
        <v>95.8</v>
      </c>
      <c r="I57" s="76">
        <v>77.399999999999991</v>
      </c>
      <c r="J57" s="76">
        <v>81.3</v>
      </c>
      <c r="K57" s="124"/>
      <c r="L57" s="124"/>
      <c r="M57" s="124"/>
      <c r="N57" s="124"/>
      <c r="O57" s="124"/>
      <c r="P57" s="124"/>
      <c r="Q57" s="124"/>
      <c r="R57" s="124"/>
      <c r="S57" s="4"/>
      <c r="T57" s="61">
        <f t="shared" si="0"/>
        <v>1</v>
      </c>
      <c r="U57" s="454">
        <v>1</v>
      </c>
      <c r="V57" s="29"/>
      <c r="W57" s="29"/>
      <c r="X57" s="29"/>
      <c r="Y57" s="29"/>
      <c r="Z57" s="29"/>
      <c r="AA57" s="29"/>
      <c r="AB57" s="29"/>
      <c r="AC57" s="29"/>
      <c r="AD57" s="29"/>
      <c r="AE57" s="29"/>
      <c r="AF57" s="29"/>
      <c r="AG57" s="29"/>
      <c r="AH57" s="29"/>
      <c r="AI57" s="29"/>
      <c r="AJ57" s="29"/>
      <c r="AK57" s="29"/>
    </row>
    <row r="58" spans="1:37" s="62" customFormat="1" ht="13.05" customHeight="1">
      <c r="A58" s="85"/>
      <c r="B58" s="85" t="s">
        <v>305</v>
      </c>
      <c r="C58" s="85"/>
      <c r="D58" s="85"/>
      <c r="E58" s="85"/>
      <c r="F58" s="76">
        <v>108.2</v>
      </c>
      <c r="G58" s="76">
        <v>59.7</v>
      </c>
      <c r="H58" s="76">
        <v>17.7</v>
      </c>
      <c r="I58" s="76">
        <v>8.5</v>
      </c>
      <c r="J58" s="76">
        <v>134.9</v>
      </c>
      <c r="K58" s="450">
        <v>0</v>
      </c>
      <c r="L58" s="450">
        <v>0</v>
      </c>
      <c r="M58" s="450">
        <v>0</v>
      </c>
      <c r="N58" s="450">
        <v>0</v>
      </c>
      <c r="O58" s="450">
        <v>0</v>
      </c>
      <c r="P58" s="450">
        <v>0</v>
      </c>
      <c r="Q58" s="450">
        <v>0</v>
      </c>
      <c r="R58" s="450">
        <v>0</v>
      </c>
      <c r="S58" s="4"/>
      <c r="T58" s="61">
        <f t="shared" si="0"/>
        <v>1</v>
      </c>
      <c r="U58" s="454">
        <v>1</v>
      </c>
      <c r="V58" s="29"/>
      <c r="W58" s="29"/>
      <c r="X58" s="29"/>
      <c r="Y58" s="29"/>
      <c r="Z58" s="29"/>
      <c r="AA58" s="29"/>
      <c r="AB58" s="29"/>
      <c r="AC58" s="29"/>
      <c r="AD58" s="29"/>
      <c r="AE58" s="29"/>
      <c r="AF58" s="29"/>
      <c r="AG58" s="29"/>
      <c r="AH58" s="29"/>
      <c r="AI58" s="29"/>
      <c r="AJ58" s="29"/>
      <c r="AK58" s="29"/>
    </row>
    <row r="59" spans="1:37" s="62" customFormat="1" ht="13.05" customHeight="1">
      <c r="A59" s="85"/>
      <c r="B59" s="85" t="s">
        <v>304</v>
      </c>
      <c r="C59" s="85"/>
      <c r="D59" s="85"/>
      <c r="E59" s="85"/>
      <c r="F59" s="76">
        <v>1.6</v>
      </c>
      <c r="G59" s="76">
        <v>1.7</v>
      </c>
      <c r="H59" s="76">
        <v>3.7</v>
      </c>
      <c r="I59" s="76">
        <v>1.7</v>
      </c>
      <c r="J59" s="76">
        <v>1.3</v>
      </c>
      <c r="K59" s="450">
        <v>0</v>
      </c>
      <c r="L59" s="450">
        <v>0</v>
      </c>
      <c r="M59" s="450">
        <v>0</v>
      </c>
      <c r="N59" s="450">
        <v>0</v>
      </c>
      <c r="O59" s="450">
        <v>0</v>
      </c>
      <c r="P59" s="450">
        <v>0</v>
      </c>
      <c r="Q59" s="450">
        <v>0</v>
      </c>
      <c r="R59" s="450">
        <v>0</v>
      </c>
      <c r="S59" s="4"/>
      <c r="T59" s="61">
        <f t="shared" si="0"/>
        <v>1</v>
      </c>
      <c r="U59" s="454">
        <v>1</v>
      </c>
      <c r="V59" s="29"/>
      <c r="W59" s="29"/>
      <c r="X59" s="29"/>
      <c r="Y59" s="29"/>
      <c r="Z59" s="29"/>
      <c r="AA59" s="29"/>
      <c r="AB59" s="29"/>
      <c r="AC59" s="29"/>
      <c r="AD59" s="29"/>
      <c r="AE59" s="29"/>
      <c r="AF59" s="29"/>
      <c r="AG59" s="29"/>
      <c r="AH59" s="29"/>
      <c r="AI59" s="29"/>
      <c r="AJ59" s="29"/>
      <c r="AK59" s="29"/>
    </row>
    <row r="60" spans="1:37" s="62" customFormat="1" ht="13.05" customHeight="1">
      <c r="A60" s="85"/>
      <c r="B60" s="85" t="s">
        <v>105</v>
      </c>
      <c r="C60" s="85"/>
      <c r="D60" s="85"/>
      <c r="E60" s="85"/>
      <c r="F60" s="76">
        <v>-22.8</v>
      </c>
      <c r="G60" s="76">
        <v>21.5</v>
      </c>
      <c r="H60" s="76">
        <v>-52.3</v>
      </c>
      <c r="I60" s="76">
        <v>78</v>
      </c>
      <c r="J60" s="76">
        <v>-50.9</v>
      </c>
      <c r="K60" s="123">
        <v>0</v>
      </c>
      <c r="L60" s="123">
        <v>0</v>
      </c>
      <c r="M60" s="123">
        <v>0</v>
      </c>
      <c r="N60" s="123">
        <v>0</v>
      </c>
      <c r="O60" s="123">
        <v>0</v>
      </c>
      <c r="P60" s="123">
        <v>0</v>
      </c>
      <c r="Q60" s="123">
        <v>0</v>
      </c>
      <c r="R60" s="123">
        <v>0</v>
      </c>
      <c r="S60" s="4"/>
      <c r="T60" s="61">
        <f t="shared" si="0"/>
        <v>1</v>
      </c>
      <c r="U60" s="454">
        <v>1</v>
      </c>
      <c r="V60" s="29"/>
      <c r="W60" s="29"/>
      <c r="X60" s="29"/>
      <c r="Y60" s="29"/>
      <c r="Z60" s="29"/>
      <c r="AA60" s="29"/>
      <c r="AB60" s="29"/>
      <c r="AC60" s="29"/>
      <c r="AD60" s="29"/>
      <c r="AE60" s="29"/>
      <c r="AF60" s="29"/>
      <c r="AG60" s="29"/>
      <c r="AH60" s="29"/>
      <c r="AI60" s="29"/>
      <c r="AJ60" s="29"/>
      <c r="AK60" s="29"/>
    </row>
    <row r="61" spans="1:37" s="62" customFormat="1" ht="13.05" customHeight="1">
      <c r="A61" s="85"/>
      <c r="B61" s="85" t="s">
        <v>106</v>
      </c>
      <c r="C61" s="85"/>
      <c r="D61" s="85"/>
      <c r="E61" s="85"/>
      <c r="F61" s="76">
        <v>6.5</v>
      </c>
      <c r="G61" s="76">
        <v>-3.2</v>
      </c>
      <c r="H61" s="76">
        <v>-14.7</v>
      </c>
      <c r="I61" s="76">
        <v>-19.100000000000001</v>
      </c>
      <c r="J61" s="76">
        <v>3.1</v>
      </c>
      <c r="K61" s="123">
        <v>0</v>
      </c>
      <c r="L61" s="123">
        <v>0</v>
      </c>
      <c r="M61" s="123">
        <v>0</v>
      </c>
      <c r="N61" s="123">
        <v>0</v>
      </c>
      <c r="O61" s="123">
        <v>0</v>
      </c>
      <c r="P61" s="123">
        <v>0</v>
      </c>
      <c r="Q61" s="123">
        <v>0</v>
      </c>
      <c r="R61" s="123">
        <v>0</v>
      </c>
      <c r="S61" s="4"/>
      <c r="T61" s="61">
        <f t="shared" si="0"/>
        <v>1</v>
      </c>
      <c r="U61" s="454">
        <v>1</v>
      </c>
      <c r="V61" s="29"/>
      <c r="W61" s="29"/>
      <c r="X61" s="29"/>
      <c r="Y61" s="29"/>
      <c r="Z61" s="29"/>
      <c r="AA61" s="29"/>
      <c r="AB61" s="29"/>
      <c r="AC61" s="29"/>
      <c r="AD61" s="29"/>
      <c r="AE61" s="29"/>
      <c r="AF61" s="29"/>
      <c r="AG61" s="29"/>
      <c r="AH61" s="29"/>
      <c r="AI61" s="29"/>
      <c r="AJ61" s="29"/>
      <c r="AK61" s="29"/>
    </row>
    <row r="62" spans="1:37" s="62" customFormat="1" ht="13.05" customHeight="1">
      <c r="A62" s="85"/>
      <c r="B62" s="122" t="s">
        <v>104</v>
      </c>
      <c r="C62" s="74"/>
      <c r="D62" s="74"/>
      <c r="E62" s="74"/>
      <c r="F62" s="73">
        <f t="shared" ref="F62:J62" si="23">SUM(F55:F61)</f>
        <v>1147.8359999999996</v>
      </c>
      <c r="G62" s="73">
        <f t="shared" si="23"/>
        <v>768.40000000000055</v>
      </c>
      <c r="H62" s="73">
        <f t="shared" si="23"/>
        <v>721.30000000000064</v>
      </c>
      <c r="I62" s="73">
        <f t="shared" si="23"/>
        <v>950.3</v>
      </c>
      <c r="J62" s="73">
        <f t="shared" si="23"/>
        <v>827.5</v>
      </c>
      <c r="K62" s="72"/>
      <c r="L62" s="72"/>
      <c r="M62" s="72"/>
      <c r="N62" s="72"/>
      <c r="O62" s="72"/>
      <c r="P62" s="72"/>
      <c r="Q62" s="72"/>
      <c r="R62" s="72"/>
      <c r="S62" s="4"/>
      <c r="T62" s="61">
        <f t="shared" si="0"/>
        <v>1</v>
      </c>
      <c r="U62" s="454">
        <v>1</v>
      </c>
      <c r="V62" s="29"/>
      <c r="W62" s="29"/>
      <c r="X62" s="29"/>
      <c r="Y62" s="29"/>
      <c r="Z62" s="29"/>
      <c r="AA62" s="29"/>
      <c r="AB62" s="29"/>
      <c r="AC62" s="29"/>
      <c r="AD62" s="29"/>
      <c r="AE62" s="29"/>
      <c r="AF62" s="29"/>
      <c r="AG62" s="29"/>
      <c r="AH62" s="29"/>
      <c r="AI62" s="29"/>
      <c r="AJ62" s="29"/>
      <c r="AK62" s="29"/>
    </row>
    <row r="63" spans="1:37" s="62" customFormat="1" ht="13.05" customHeight="1">
      <c r="A63" s="85"/>
      <c r="B63" s="119"/>
      <c r="C63" s="29"/>
      <c r="D63" s="29"/>
      <c r="E63" s="29"/>
      <c r="F63" s="29"/>
      <c r="G63" s="29"/>
      <c r="H63" s="29"/>
      <c r="I63" s="18"/>
      <c r="J63" s="18"/>
      <c r="K63" s="18"/>
      <c r="L63" s="18"/>
      <c r="M63" s="18"/>
      <c r="N63" s="18"/>
      <c r="O63" s="18"/>
      <c r="P63" s="18"/>
      <c r="Q63" s="18"/>
      <c r="R63" s="18"/>
      <c r="S63" s="4"/>
      <c r="T63" s="61">
        <f t="shared" si="0"/>
        <v>0</v>
      </c>
      <c r="U63" s="454">
        <v>0</v>
      </c>
      <c r="V63" s="29"/>
      <c r="W63" s="29"/>
      <c r="X63" s="29"/>
      <c r="Y63" s="29"/>
      <c r="Z63" s="29"/>
      <c r="AA63" s="29"/>
      <c r="AB63" s="29"/>
      <c r="AC63" s="29"/>
      <c r="AD63" s="29"/>
      <c r="AE63" s="29"/>
      <c r="AF63" s="29"/>
      <c r="AG63" s="29"/>
      <c r="AH63" s="29"/>
      <c r="AI63" s="29"/>
      <c r="AJ63" s="29"/>
      <c r="AK63" s="29"/>
    </row>
    <row r="64" spans="1:37" s="62" customFormat="1" ht="13.05" customHeight="1">
      <c r="A64" s="85"/>
      <c r="B64" s="121" t="s">
        <v>295</v>
      </c>
      <c r="C64" s="85"/>
      <c r="D64" s="85"/>
      <c r="E64" s="85"/>
      <c r="F64" s="68">
        <v>-23.7</v>
      </c>
      <c r="G64" s="68">
        <v>0.3</v>
      </c>
      <c r="H64" s="68">
        <v>-28.3</v>
      </c>
      <c r="I64" s="68">
        <v>-29.4</v>
      </c>
      <c r="J64" s="68">
        <v>-5.6</v>
      </c>
      <c r="K64" s="81"/>
      <c r="L64" s="81"/>
      <c r="M64" s="81"/>
      <c r="N64" s="81"/>
      <c r="O64" s="81"/>
      <c r="P64" s="81"/>
      <c r="Q64" s="81"/>
      <c r="R64" s="81"/>
      <c r="S64" s="4"/>
      <c r="T64" s="61">
        <f t="shared" si="0"/>
        <v>1</v>
      </c>
      <c r="U64" s="454">
        <v>1</v>
      </c>
      <c r="V64" s="29"/>
      <c r="W64" s="29"/>
      <c r="X64" s="29"/>
      <c r="Y64" s="29"/>
      <c r="Z64" s="29"/>
      <c r="AA64" s="29"/>
      <c r="AB64" s="29"/>
      <c r="AC64" s="29"/>
      <c r="AD64" s="29"/>
      <c r="AE64" s="29"/>
      <c r="AF64" s="29"/>
      <c r="AG64" s="29"/>
      <c r="AH64" s="29"/>
      <c r="AI64" s="29"/>
      <c r="AJ64" s="29"/>
      <c r="AK64" s="29"/>
    </row>
    <row r="65" spans="1:37" s="62" customFormat="1" ht="13.05" customHeight="1">
      <c r="A65" s="85"/>
      <c r="B65" s="121" t="s">
        <v>140</v>
      </c>
      <c r="C65" s="85"/>
      <c r="D65" s="85"/>
      <c r="E65" s="85"/>
      <c r="F65" s="68">
        <v>-64.099999999999994</v>
      </c>
      <c r="G65" s="68">
        <v>29.2</v>
      </c>
      <c r="H65" s="68">
        <v>40.700000000000003</v>
      </c>
      <c r="I65" s="68">
        <v>-20</v>
      </c>
      <c r="J65" s="68">
        <v>30.4</v>
      </c>
      <c r="K65" s="81"/>
      <c r="L65" s="81"/>
      <c r="M65" s="81"/>
      <c r="N65" s="81"/>
      <c r="O65" s="81"/>
      <c r="P65" s="81"/>
      <c r="Q65" s="81"/>
      <c r="R65" s="81"/>
      <c r="S65" s="4"/>
      <c r="T65" s="61">
        <f t="shared" si="0"/>
        <v>1</v>
      </c>
      <c r="U65" s="454">
        <v>1</v>
      </c>
      <c r="V65" s="29"/>
      <c r="W65" s="29"/>
      <c r="X65" s="29"/>
      <c r="Y65" s="29"/>
      <c r="Z65" s="29"/>
      <c r="AA65" s="29"/>
      <c r="AB65" s="29"/>
      <c r="AC65" s="29"/>
      <c r="AD65" s="29"/>
      <c r="AE65" s="29"/>
      <c r="AF65" s="29"/>
      <c r="AG65" s="29"/>
      <c r="AH65" s="29"/>
      <c r="AI65" s="29"/>
      <c r="AJ65" s="29"/>
      <c r="AK65" s="29"/>
    </row>
    <row r="66" spans="1:37" s="62" customFormat="1" ht="13.05" customHeight="1">
      <c r="A66" s="85"/>
      <c r="B66" s="121" t="s">
        <v>139</v>
      </c>
      <c r="C66" s="85"/>
      <c r="D66" s="85"/>
      <c r="E66" s="85"/>
      <c r="F66" s="68">
        <v>0</v>
      </c>
      <c r="G66" s="68">
        <v>0</v>
      </c>
      <c r="H66" s="68">
        <v>0</v>
      </c>
      <c r="I66" s="68">
        <v>0</v>
      </c>
      <c r="J66" s="68">
        <v>0</v>
      </c>
      <c r="K66" s="81"/>
      <c r="L66" s="81"/>
      <c r="M66" s="81"/>
      <c r="N66" s="81"/>
      <c r="O66" s="81"/>
      <c r="P66" s="81"/>
      <c r="Q66" s="81"/>
      <c r="R66" s="81"/>
      <c r="S66" s="4"/>
      <c r="T66" s="61">
        <f t="shared" si="0"/>
        <v>1</v>
      </c>
      <c r="U66" s="454">
        <v>1</v>
      </c>
      <c r="V66" s="29"/>
      <c r="W66" s="29"/>
      <c r="X66" s="29"/>
      <c r="Y66" s="29"/>
      <c r="Z66" s="29"/>
      <c r="AA66" s="29"/>
      <c r="AB66" s="29"/>
      <c r="AC66" s="29"/>
      <c r="AD66" s="29"/>
      <c r="AE66" s="29"/>
      <c r="AF66" s="29"/>
      <c r="AG66" s="29"/>
      <c r="AH66" s="29"/>
      <c r="AI66" s="29"/>
      <c r="AJ66" s="29"/>
      <c r="AK66" s="29"/>
    </row>
    <row r="67" spans="1:37" s="62" customFormat="1" ht="13.05" customHeight="1">
      <c r="A67" s="85"/>
      <c r="B67" s="121" t="s">
        <v>79</v>
      </c>
      <c r="C67" s="85"/>
      <c r="D67" s="85"/>
      <c r="E67" s="85"/>
      <c r="F67" s="68">
        <v>-64.2</v>
      </c>
      <c r="G67" s="68">
        <v>17.8</v>
      </c>
      <c r="H67" s="68">
        <v>-6.3</v>
      </c>
      <c r="I67" s="68">
        <v>48</v>
      </c>
      <c r="J67" s="68">
        <v>80.900000000000006</v>
      </c>
      <c r="K67" s="81"/>
      <c r="L67" s="81"/>
      <c r="M67" s="81"/>
      <c r="N67" s="81"/>
      <c r="O67" s="81"/>
      <c r="P67" s="81"/>
      <c r="Q67" s="81"/>
      <c r="R67" s="81"/>
      <c r="S67" s="4"/>
      <c r="T67" s="61">
        <f t="shared" si="0"/>
        <v>1</v>
      </c>
      <c r="U67" s="454">
        <v>1</v>
      </c>
      <c r="V67" s="29"/>
      <c r="W67" s="29"/>
      <c r="X67" s="29"/>
      <c r="Y67" s="29"/>
      <c r="Z67" s="29"/>
      <c r="AA67" s="29"/>
      <c r="AB67" s="29"/>
      <c r="AC67" s="29"/>
      <c r="AD67" s="29"/>
      <c r="AE67" s="29"/>
      <c r="AF67" s="29"/>
      <c r="AG67" s="29"/>
      <c r="AH67" s="29"/>
      <c r="AI67" s="29"/>
      <c r="AJ67" s="29"/>
      <c r="AK67" s="29"/>
    </row>
    <row r="68" spans="1:37" s="62" customFormat="1" ht="13.05" customHeight="1">
      <c r="A68" s="85"/>
      <c r="B68" s="85" t="s">
        <v>76</v>
      </c>
      <c r="C68" s="85"/>
      <c r="D68" s="85"/>
      <c r="E68" s="85"/>
      <c r="F68" s="68">
        <v>-30.2</v>
      </c>
      <c r="G68" s="68">
        <v>64.400000000000006</v>
      </c>
      <c r="H68" s="68">
        <v>-48.4</v>
      </c>
      <c r="I68" s="68">
        <v>8.4</v>
      </c>
      <c r="J68" s="68">
        <v>-77.3</v>
      </c>
      <c r="K68" s="81"/>
      <c r="L68" s="81"/>
      <c r="M68" s="81"/>
      <c r="N68" s="81"/>
      <c r="O68" s="81"/>
      <c r="P68" s="81"/>
      <c r="Q68" s="81"/>
      <c r="R68" s="81"/>
      <c r="S68" s="4"/>
      <c r="T68" s="61">
        <f t="shared" si="0"/>
        <v>1</v>
      </c>
      <c r="U68" s="454">
        <v>1</v>
      </c>
      <c r="V68" s="29"/>
      <c r="W68" s="29"/>
      <c r="X68" s="29"/>
      <c r="Y68" s="29"/>
      <c r="Z68" s="29"/>
      <c r="AA68" s="29"/>
      <c r="AB68" s="29"/>
      <c r="AC68" s="29"/>
      <c r="AD68" s="29"/>
      <c r="AE68" s="29"/>
      <c r="AF68" s="29"/>
      <c r="AG68" s="29"/>
      <c r="AH68" s="29"/>
      <c r="AI68" s="29"/>
      <c r="AJ68" s="29"/>
      <c r="AK68" s="29"/>
    </row>
    <row r="69" spans="1:37" s="62" customFormat="1" ht="13.05" customHeight="1">
      <c r="A69" s="85"/>
      <c r="B69" s="121" t="s">
        <v>300</v>
      </c>
      <c r="C69" s="85"/>
      <c r="D69" s="85"/>
      <c r="E69" s="85"/>
      <c r="F69" s="68">
        <v>14.1</v>
      </c>
      <c r="G69" s="68">
        <v>63.2</v>
      </c>
      <c r="H69" s="68">
        <v>30.1</v>
      </c>
      <c r="I69" s="68">
        <v>-50.1</v>
      </c>
      <c r="J69" s="68">
        <v>-16.899999999999999</v>
      </c>
      <c r="K69" s="81"/>
      <c r="L69" s="81"/>
      <c r="M69" s="81"/>
      <c r="N69" s="81"/>
      <c r="O69" s="81"/>
      <c r="P69" s="81"/>
      <c r="Q69" s="81"/>
      <c r="R69" s="81"/>
      <c r="S69" s="4"/>
      <c r="T69" s="61">
        <f t="shared" si="0"/>
        <v>1</v>
      </c>
      <c r="U69" s="454">
        <v>1</v>
      </c>
      <c r="V69" s="29"/>
      <c r="W69" s="29"/>
      <c r="X69" s="29"/>
      <c r="Y69" s="29"/>
      <c r="Z69" s="29"/>
      <c r="AA69" s="29"/>
      <c r="AB69" s="29"/>
      <c r="AC69" s="29"/>
      <c r="AD69" s="29"/>
      <c r="AE69" s="29"/>
      <c r="AF69" s="29"/>
      <c r="AG69" s="29"/>
      <c r="AH69" s="29"/>
      <c r="AI69" s="29"/>
      <c r="AJ69" s="29"/>
      <c r="AK69" s="29"/>
    </row>
    <row r="70" spans="1:37" s="62" customFormat="1" ht="13.05" customHeight="1">
      <c r="A70" s="85"/>
      <c r="B70" s="121" t="s">
        <v>72</v>
      </c>
      <c r="C70" s="85"/>
      <c r="D70" s="85"/>
      <c r="E70" s="85"/>
      <c r="F70" s="68">
        <v>5.7</v>
      </c>
      <c r="G70" s="68">
        <v>-5.9</v>
      </c>
      <c r="H70" s="68">
        <v>49.5</v>
      </c>
      <c r="I70" s="68">
        <v>-53.4</v>
      </c>
      <c r="J70" s="68">
        <v>157.69999999999999</v>
      </c>
      <c r="K70" s="81"/>
      <c r="L70" s="81"/>
      <c r="M70" s="81"/>
      <c r="N70" s="81"/>
      <c r="O70" s="81"/>
      <c r="P70" s="81"/>
      <c r="Q70" s="81"/>
      <c r="R70" s="81"/>
      <c r="S70" s="4"/>
      <c r="T70" s="61">
        <f t="shared" si="0"/>
        <v>1</v>
      </c>
      <c r="U70" s="454">
        <v>1</v>
      </c>
      <c r="V70" s="29"/>
      <c r="W70" s="29"/>
      <c r="X70" s="29"/>
      <c r="Y70" s="29"/>
      <c r="Z70" s="29"/>
      <c r="AA70" s="29"/>
      <c r="AB70" s="29"/>
      <c r="AC70" s="29"/>
      <c r="AD70" s="29"/>
      <c r="AE70" s="29"/>
      <c r="AF70" s="29"/>
      <c r="AG70" s="29"/>
      <c r="AH70" s="29"/>
      <c r="AI70" s="29"/>
      <c r="AJ70" s="29"/>
      <c r="AK70" s="29"/>
    </row>
    <row r="71" spans="1:37" s="62" customFormat="1" ht="13.05" customHeight="1">
      <c r="A71" s="85"/>
      <c r="B71" s="120" t="s">
        <v>103</v>
      </c>
      <c r="C71" s="74"/>
      <c r="D71" s="74"/>
      <c r="E71" s="74"/>
      <c r="F71" s="73">
        <f t="shared" ref="F71:J71" si="24">SUM(F64:F70)</f>
        <v>-162.4</v>
      </c>
      <c r="G71" s="73">
        <f t="shared" si="24"/>
        <v>169</v>
      </c>
      <c r="H71" s="73">
        <f t="shared" si="24"/>
        <v>37.300000000000004</v>
      </c>
      <c r="I71" s="73">
        <f t="shared" si="24"/>
        <v>-96.5</v>
      </c>
      <c r="J71" s="73">
        <f t="shared" si="24"/>
        <v>169.2</v>
      </c>
      <c r="K71" s="72"/>
      <c r="L71" s="72"/>
      <c r="M71" s="72"/>
      <c r="N71" s="72"/>
      <c r="O71" s="72"/>
      <c r="P71" s="72"/>
      <c r="Q71" s="72"/>
      <c r="R71" s="72"/>
      <c r="S71" s="4"/>
      <c r="T71" s="61">
        <f t="shared" si="0"/>
        <v>1</v>
      </c>
      <c r="U71" s="454">
        <v>1</v>
      </c>
      <c r="V71" s="29"/>
      <c r="W71" s="29"/>
      <c r="X71" s="29"/>
      <c r="Y71" s="29"/>
      <c r="Z71" s="29"/>
      <c r="AA71" s="29"/>
      <c r="AB71" s="29"/>
      <c r="AC71" s="29"/>
      <c r="AD71" s="29"/>
      <c r="AE71" s="29"/>
      <c r="AF71" s="29"/>
      <c r="AG71" s="29"/>
      <c r="AH71" s="29"/>
      <c r="AI71" s="29"/>
      <c r="AJ71" s="29"/>
      <c r="AK71" s="29"/>
    </row>
    <row r="72" spans="1:37" s="62" customFormat="1" ht="13.05" customHeight="1">
      <c r="A72" s="85"/>
      <c r="B72" s="119"/>
      <c r="C72" s="29"/>
      <c r="D72" s="29"/>
      <c r="E72" s="29"/>
      <c r="F72" s="29"/>
      <c r="G72" s="29"/>
      <c r="H72" s="29"/>
      <c r="I72" s="29"/>
      <c r="J72" s="29"/>
      <c r="K72" s="69"/>
      <c r="L72" s="69"/>
      <c r="M72" s="69"/>
      <c r="N72" s="69"/>
      <c r="O72" s="69"/>
      <c r="P72" s="69"/>
      <c r="Q72" s="69"/>
      <c r="R72" s="69"/>
      <c r="S72" s="4"/>
      <c r="T72" s="61">
        <f t="shared" si="0"/>
        <v>0</v>
      </c>
      <c r="U72" s="454">
        <v>0</v>
      </c>
      <c r="V72" s="29"/>
      <c r="W72" s="29"/>
      <c r="X72" s="29"/>
      <c r="Y72" s="29"/>
      <c r="Z72" s="29"/>
      <c r="AA72" s="29"/>
      <c r="AB72" s="29"/>
      <c r="AC72" s="29"/>
      <c r="AD72" s="29"/>
      <c r="AE72" s="29"/>
      <c r="AF72" s="29"/>
      <c r="AG72" s="29"/>
      <c r="AH72" s="29"/>
      <c r="AI72" s="29"/>
      <c r="AJ72" s="29"/>
      <c r="AK72" s="29"/>
    </row>
    <row r="73" spans="1:37" s="62" customFormat="1" ht="13.05" customHeight="1">
      <c r="A73" s="85"/>
      <c r="B73" s="118" t="s">
        <v>102</v>
      </c>
      <c r="C73" s="29"/>
      <c r="D73" s="29"/>
      <c r="E73" s="29"/>
      <c r="F73" s="71">
        <f t="shared" ref="F73:J73" si="25">F71+F62</f>
        <v>985.43599999999958</v>
      </c>
      <c r="G73" s="71">
        <f t="shared" si="25"/>
        <v>937.40000000000055</v>
      </c>
      <c r="H73" s="71">
        <f t="shared" si="25"/>
        <v>758.60000000000059</v>
      </c>
      <c r="I73" s="71">
        <f t="shared" si="25"/>
        <v>853.8</v>
      </c>
      <c r="J73" s="71">
        <f t="shared" si="25"/>
        <v>996.7</v>
      </c>
      <c r="K73" s="70"/>
      <c r="L73" s="70"/>
      <c r="M73" s="70"/>
      <c r="N73" s="70"/>
      <c r="O73" s="70"/>
      <c r="P73" s="70"/>
      <c r="Q73" s="70"/>
      <c r="R73" s="70"/>
      <c r="S73" s="4"/>
      <c r="T73" s="61">
        <f t="shared" si="0"/>
        <v>1</v>
      </c>
      <c r="U73" s="454">
        <v>1</v>
      </c>
      <c r="V73" s="29"/>
      <c r="W73" s="29"/>
      <c r="X73" s="29"/>
      <c r="Y73" s="29"/>
      <c r="Z73" s="29"/>
      <c r="AA73" s="29"/>
      <c r="AB73" s="29"/>
      <c r="AC73" s="29"/>
      <c r="AD73" s="29"/>
      <c r="AE73" s="29"/>
      <c r="AF73" s="29"/>
      <c r="AG73" s="29"/>
      <c r="AH73" s="29"/>
      <c r="AI73" s="29"/>
      <c r="AJ73" s="29"/>
      <c r="AK73" s="29"/>
    </row>
    <row r="74" spans="1:37" s="62" customFormat="1" ht="13.05" customHeight="1">
      <c r="A74" s="85"/>
      <c r="B74" s="85"/>
      <c r="C74" s="85"/>
      <c r="D74" s="85"/>
      <c r="E74" s="85"/>
      <c r="G74" s="85"/>
      <c r="H74" s="85"/>
      <c r="I74" s="85"/>
      <c r="J74" s="85"/>
      <c r="K74" s="85"/>
      <c r="L74" s="85"/>
      <c r="M74" s="85"/>
      <c r="N74" s="85"/>
      <c r="O74" s="85"/>
      <c r="P74" s="85"/>
      <c r="Q74" s="85"/>
      <c r="R74" s="85"/>
      <c r="S74" s="4"/>
      <c r="T74" s="61">
        <f t="shared" ref="T74:T137" si="26">IF(NOT(ISBLANK(B74)), 1, 0)</f>
        <v>0</v>
      </c>
      <c r="U74" s="454">
        <v>0</v>
      </c>
      <c r="V74" s="29"/>
      <c r="W74" s="29"/>
      <c r="X74" s="29"/>
      <c r="Y74" s="29"/>
      <c r="Z74" s="29"/>
      <c r="AA74" s="29"/>
      <c r="AB74" s="29"/>
      <c r="AC74" s="29"/>
      <c r="AD74" s="29"/>
      <c r="AE74" s="29"/>
      <c r="AF74" s="29"/>
      <c r="AG74" s="29"/>
      <c r="AH74" s="29"/>
      <c r="AI74" s="29"/>
      <c r="AJ74" s="29"/>
      <c r="AK74" s="29"/>
    </row>
    <row r="75" spans="1:37" s="62" customFormat="1" ht="13.05" customHeight="1">
      <c r="A75" s="85"/>
      <c r="B75" s="114" t="s">
        <v>101</v>
      </c>
      <c r="C75" s="85"/>
      <c r="D75" s="85"/>
      <c r="E75" s="85"/>
      <c r="F75" s="117"/>
      <c r="G75" s="117"/>
      <c r="H75" s="117"/>
      <c r="I75" s="117"/>
      <c r="J75" s="117"/>
      <c r="K75" s="117"/>
      <c r="L75" s="117"/>
      <c r="M75" s="117"/>
      <c r="N75" s="117"/>
      <c r="O75" s="117"/>
      <c r="P75" s="117"/>
      <c r="Q75" s="117"/>
      <c r="R75" s="117"/>
      <c r="S75" s="4"/>
      <c r="T75" s="61">
        <f t="shared" si="26"/>
        <v>1</v>
      </c>
      <c r="U75" s="454">
        <v>1</v>
      </c>
      <c r="V75" s="29"/>
      <c r="W75" s="29"/>
      <c r="X75" s="29"/>
      <c r="Y75" s="29"/>
      <c r="Z75" s="29"/>
      <c r="AA75" s="29"/>
      <c r="AB75" s="29"/>
      <c r="AC75" s="29"/>
      <c r="AD75" s="29"/>
      <c r="AE75" s="29"/>
      <c r="AF75" s="29"/>
      <c r="AG75" s="29"/>
      <c r="AH75" s="29"/>
      <c r="AI75" s="29"/>
      <c r="AJ75" s="29"/>
      <c r="AK75" s="29"/>
    </row>
    <row r="76" spans="1:37" s="62" customFormat="1" ht="13.05" customHeight="1">
      <c r="A76" s="85"/>
      <c r="B76" s="29" t="s">
        <v>100</v>
      </c>
      <c r="C76" s="85"/>
      <c r="D76" s="85"/>
      <c r="E76" s="85"/>
      <c r="F76" s="111">
        <v>-219.6</v>
      </c>
      <c r="G76" s="111">
        <v>-199.3</v>
      </c>
      <c r="H76" s="111">
        <v>-396.4</v>
      </c>
      <c r="I76" s="111">
        <v>-283.10000000000002</v>
      </c>
      <c r="J76" s="111">
        <v>-267.39999999999998</v>
      </c>
      <c r="K76" s="116"/>
      <c r="L76" s="116"/>
      <c r="M76" s="116"/>
      <c r="N76" s="116"/>
      <c r="O76" s="116"/>
      <c r="P76" s="116"/>
      <c r="Q76" s="116"/>
      <c r="R76" s="116"/>
      <c r="S76" s="4"/>
      <c r="T76" s="61">
        <f t="shared" si="26"/>
        <v>1</v>
      </c>
      <c r="U76" s="454">
        <v>1</v>
      </c>
      <c r="V76" s="29"/>
      <c r="W76" s="29"/>
      <c r="X76" s="29"/>
      <c r="Y76" s="29"/>
      <c r="Z76" s="29"/>
      <c r="AA76" s="29"/>
      <c r="AB76" s="29"/>
      <c r="AC76" s="29"/>
      <c r="AD76" s="29"/>
      <c r="AE76" s="29"/>
      <c r="AF76" s="29"/>
      <c r="AG76" s="29"/>
      <c r="AH76" s="29"/>
      <c r="AI76" s="29"/>
      <c r="AJ76" s="29"/>
      <c r="AK76" s="29"/>
    </row>
    <row r="77" spans="1:37" s="62" customFormat="1" ht="13.05" customHeight="1">
      <c r="A77" s="85"/>
      <c r="B77" s="85" t="s">
        <v>306</v>
      </c>
      <c r="C77" s="85"/>
      <c r="D77" s="85"/>
      <c r="E77" s="85"/>
      <c r="F77" s="111">
        <v>-3.8</v>
      </c>
      <c r="G77" s="111">
        <v>-519.6</v>
      </c>
      <c r="H77" s="111">
        <v>-25.6</v>
      </c>
      <c r="I77" s="111">
        <v>0</v>
      </c>
      <c r="J77" s="111">
        <v>-2375.8000000000002</v>
      </c>
      <c r="K77" s="123">
        <v>0</v>
      </c>
      <c r="L77" s="123">
        <v>0</v>
      </c>
      <c r="M77" s="123">
        <v>0</v>
      </c>
      <c r="N77" s="123">
        <v>0</v>
      </c>
      <c r="O77" s="123">
        <v>0</v>
      </c>
      <c r="P77" s="123">
        <v>0</v>
      </c>
      <c r="Q77" s="123">
        <v>0</v>
      </c>
      <c r="R77" s="123">
        <v>0</v>
      </c>
      <c r="S77" s="4"/>
      <c r="T77" s="61">
        <f t="shared" si="26"/>
        <v>1</v>
      </c>
      <c r="U77" s="454">
        <v>1</v>
      </c>
      <c r="V77" s="29"/>
      <c r="W77" s="29"/>
      <c r="X77" s="29"/>
      <c r="Y77" s="29"/>
      <c r="Z77" s="29"/>
      <c r="AA77" s="29"/>
      <c r="AB77" s="29"/>
      <c r="AC77" s="29"/>
      <c r="AD77" s="29"/>
      <c r="AE77" s="29"/>
      <c r="AF77" s="29"/>
      <c r="AG77" s="29"/>
      <c r="AH77" s="29"/>
      <c r="AI77" s="29"/>
      <c r="AJ77" s="29"/>
      <c r="AK77" s="29"/>
    </row>
    <row r="78" spans="1:37" ht="13.05" customHeight="1">
      <c r="A78" s="85"/>
      <c r="B78" s="24" t="s">
        <v>360</v>
      </c>
      <c r="F78" s="453">
        <v>-484.3</v>
      </c>
      <c r="G78" s="453">
        <v>106</v>
      </c>
      <c r="H78" s="453">
        <v>-388</v>
      </c>
      <c r="I78" s="453">
        <v>876.1</v>
      </c>
      <c r="J78" s="453">
        <v>478.4</v>
      </c>
      <c r="K78" s="97"/>
      <c r="L78" s="97"/>
      <c r="M78" s="97"/>
      <c r="N78" s="97"/>
      <c r="O78" s="97"/>
      <c r="P78" s="97"/>
      <c r="Q78" s="97"/>
      <c r="R78" s="97"/>
      <c r="T78" s="61">
        <f t="shared" si="26"/>
        <v>1</v>
      </c>
      <c r="U78" s="454">
        <v>1</v>
      </c>
    </row>
    <row r="79" spans="1:37" s="62" customFormat="1" ht="13.05" customHeight="1">
      <c r="A79" s="85"/>
      <c r="B79" s="110" t="s">
        <v>99</v>
      </c>
      <c r="C79" s="74"/>
      <c r="D79" s="74"/>
      <c r="E79" s="74"/>
      <c r="F79" s="73">
        <f>SUM(F76:F78)</f>
        <v>-707.7</v>
      </c>
      <c r="G79" s="73">
        <f t="shared" ref="G79:J79" si="27">SUM(G76:G78)</f>
        <v>-612.90000000000009</v>
      </c>
      <c r="H79" s="73">
        <f t="shared" si="27"/>
        <v>-810</v>
      </c>
      <c r="I79" s="73">
        <f t="shared" si="27"/>
        <v>593</v>
      </c>
      <c r="J79" s="73">
        <f t="shared" si="27"/>
        <v>-2164.8000000000002</v>
      </c>
      <c r="K79" s="72"/>
      <c r="L79" s="72"/>
      <c r="M79" s="72"/>
      <c r="N79" s="72"/>
      <c r="O79" s="72"/>
      <c r="P79" s="72"/>
      <c r="Q79" s="72"/>
      <c r="R79" s="72"/>
      <c r="S79" s="4"/>
      <c r="T79" s="61">
        <f t="shared" si="26"/>
        <v>1</v>
      </c>
      <c r="U79" s="454">
        <v>1</v>
      </c>
      <c r="V79" s="29"/>
      <c r="W79" s="29"/>
      <c r="X79" s="29"/>
      <c r="Y79" s="29"/>
      <c r="Z79" s="29"/>
      <c r="AA79" s="29"/>
      <c r="AB79" s="29"/>
      <c r="AC79" s="29"/>
      <c r="AD79" s="29"/>
      <c r="AE79" s="29"/>
      <c r="AF79" s="29"/>
      <c r="AG79" s="29"/>
      <c r="AH79" s="29"/>
      <c r="AI79" s="29"/>
      <c r="AJ79" s="29"/>
      <c r="AK79" s="29"/>
    </row>
    <row r="80" spans="1:37" s="62" customFormat="1" ht="13.05" customHeight="1">
      <c r="A80" s="85"/>
      <c r="B80" s="115"/>
      <c r="C80" s="85"/>
      <c r="D80" s="85"/>
      <c r="E80" s="85"/>
      <c r="F80" s="85"/>
      <c r="G80" s="85"/>
      <c r="H80" s="85"/>
      <c r="I80" s="85"/>
      <c r="J80" s="85"/>
      <c r="K80" s="85"/>
      <c r="L80" s="85"/>
      <c r="M80" s="85"/>
      <c r="N80" s="85"/>
      <c r="O80" s="85"/>
      <c r="P80" s="85"/>
      <c r="Q80" s="85"/>
      <c r="R80" s="85"/>
      <c r="S80" s="4"/>
      <c r="T80" s="61">
        <f t="shared" si="26"/>
        <v>0</v>
      </c>
      <c r="U80" s="454">
        <v>0</v>
      </c>
      <c r="V80" s="29"/>
      <c r="W80" s="29"/>
      <c r="X80" s="29"/>
      <c r="Y80" s="29"/>
      <c r="Z80" s="29"/>
      <c r="AA80" s="29"/>
      <c r="AB80" s="29"/>
      <c r="AC80" s="29"/>
      <c r="AD80" s="29"/>
      <c r="AE80" s="29"/>
      <c r="AF80" s="29"/>
      <c r="AG80" s="29"/>
      <c r="AH80" s="29"/>
      <c r="AI80" s="29"/>
      <c r="AJ80" s="29"/>
      <c r="AK80" s="29"/>
    </row>
    <row r="81" spans="1:37" s="62" customFormat="1" ht="13.05" customHeight="1">
      <c r="A81" s="85"/>
      <c r="B81" s="112" t="s">
        <v>98</v>
      </c>
      <c r="C81" s="85"/>
      <c r="D81" s="85"/>
      <c r="E81" s="85"/>
      <c r="F81" s="84">
        <f t="shared" ref="F81:J81" si="28">F73+F79</f>
        <v>277.73599999999954</v>
      </c>
      <c r="G81" s="84">
        <f t="shared" si="28"/>
        <v>324.50000000000045</v>
      </c>
      <c r="H81" s="84">
        <f t="shared" si="28"/>
        <v>-51.399999999999409</v>
      </c>
      <c r="I81" s="84">
        <f t="shared" si="28"/>
        <v>1446.8</v>
      </c>
      <c r="J81" s="84">
        <f t="shared" si="28"/>
        <v>-1168.1000000000001</v>
      </c>
      <c r="K81" s="81"/>
      <c r="L81" s="81"/>
      <c r="M81" s="81"/>
      <c r="N81" s="81"/>
      <c r="O81" s="81"/>
      <c r="P81" s="81"/>
      <c r="Q81" s="81"/>
      <c r="R81" s="81"/>
      <c r="S81" s="4"/>
      <c r="T81" s="61">
        <f t="shared" si="26"/>
        <v>1</v>
      </c>
      <c r="U81" s="454">
        <v>1</v>
      </c>
      <c r="V81" s="29"/>
      <c r="W81" s="29"/>
      <c r="X81" s="29"/>
      <c r="Y81" s="29"/>
      <c r="Z81" s="29"/>
      <c r="AA81" s="29"/>
      <c r="AB81" s="29"/>
      <c r="AC81" s="29"/>
      <c r="AD81" s="29"/>
      <c r="AE81" s="29"/>
      <c r="AF81" s="29"/>
      <c r="AG81" s="29"/>
      <c r="AH81" s="29"/>
      <c r="AI81" s="29"/>
      <c r="AJ81" s="29"/>
      <c r="AK81" s="29"/>
    </row>
    <row r="82" spans="1:37" s="62" customFormat="1" ht="13.05" customHeight="1">
      <c r="A82" s="85"/>
      <c r="B82" s="115"/>
      <c r="C82" s="85"/>
      <c r="D82" s="85"/>
      <c r="E82" s="85"/>
      <c r="F82" s="85"/>
      <c r="G82" s="85"/>
      <c r="H82" s="85"/>
      <c r="I82" s="85"/>
      <c r="J82" s="85"/>
      <c r="K82" s="85"/>
      <c r="L82" s="85"/>
      <c r="M82" s="85"/>
      <c r="N82" s="85"/>
      <c r="O82" s="85"/>
      <c r="P82" s="85"/>
      <c r="Q82" s="85"/>
      <c r="R82" s="85"/>
      <c r="S82" s="4"/>
      <c r="T82" s="61">
        <f t="shared" si="26"/>
        <v>0</v>
      </c>
      <c r="U82" s="454">
        <v>0</v>
      </c>
      <c r="V82" s="29"/>
      <c r="W82" s="29"/>
      <c r="X82" s="29"/>
      <c r="Y82" s="29"/>
      <c r="Z82" s="29"/>
      <c r="AA82" s="29"/>
      <c r="AB82" s="29"/>
      <c r="AC82" s="29"/>
      <c r="AD82" s="29"/>
      <c r="AE82" s="29"/>
      <c r="AF82" s="29"/>
      <c r="AG82" s="29"/>
      <c r="AH82" s="29"/>
      <c r="AI82" s="29"/>
      <c r="AJ82" s="29"/>
      <c r="AK82" s="29"/>
    </row>
    <row r="83" spans="1:37" s="62" customFormat="1" ht="13.05" customHeight="1">
      <c r="A83" s="85"/>
      <c r="B83" s="114" t="s">
        <v>97</v>
      </c>
      <c r="C83" s="85"/>
      <c r="D83" s="85"/>
      <c r="E83" s="85"/>
      <c r="F83" s="107"/>
      <c r="G83" s="107"/>
      <c r="H83" s="107"/>
      <c r="I83" s="107"/>
      <c r="J83" s="107"/>
      <c r="K83" s="107"/>
      <c r="L83" s="107"/>
      <c r="M83" s="107"/>
      <c r="N83" s="107"/>
      <c r="O83" s="107"/>
      <c r="P83" s="107"/>
      <c r="Q83" s="107"/>
      <c r="R83" s="107"/>
      <c r="S83" s="4"/>
      <c r="T83" s="61">
        <f t="shared" si="26"/>
        <v>1</v>
      </c>
      <c r="U83" s="454">
        <v>1</v>
      </c>
      <c r="V83" s="29"/>
      <c r="W83" s="29"/>
      <c r="X83" s="29"/>
      <c r="Y83" s="29"/>
      <c r="Z83" s="29"/>
      <c r="AA83" s="29"/>
      <c r="AB83" s="29"/>
      <c r="AC83" s="29"/>
      <c r="AD83" s="29"/>
      <c r="AE83" s="29"/>
      <c r="AF83" s="29"/>
      <c r="AG83" s="29"/>
      <c r="AH83" s="29"/>
      <c r="AI83" s="29"/>
      <c r="AJ83" s="29"/>
      <c r="AK83" s="29"/>
    </row>
    <row r="84" spans="1:37" s="62" customFormat="1" ht="13.05" customHeight="1">
      <c r="A84" s="85"/>
      <c r="B84" s="112" t="s">
        <v>312</v>
      </c>
      <c r="C84" s="108"/>
      <c r="D84" s="85"/>
      <c r="E84" s="85"/>
      <c r="F84" s="111">
        <v>0</v>
      </c>
      <c r="G84" s="111">
        <v>0</v>
      </c>
      <c r="H84" s="111">
        <v>0</v>
      </c>
      <c r="I84" s="111">
        <v>0</v>
      </c>
      <c r="J84" s="111">
        <v>0</v>
      </c>
      <c r="K84" s="113"/>
      <c r="L84" s="113"/>
      <c r="M84" s="113"/>
      <c r="N84" s="113"/>
      <c r="O84" s="113"/>
      <c r="P84" s="113"/>
      <c r="Q84" s="113"/>
      <c r="R84" s="113"/>
      <c r="S84" s="4"/>
      <c r="T84" s="61">
        <f t="shared" si="26"/>
        <v>1</v>
      </c>
      <c r="U84" s="454">
        <v>1</v>
      </c>
      <c r="V84" s="29"/>
      <c r="W84" s="29"/>
      <c r="X84" s="29"/>
      <c r="Y84" s="29"/>
      <c r="Z84" s="29"/>
      <c r="AA84" s="29"/>
      <c r="AB84" s="29"/>
      <c r="AC84" s="29"/>
      <c r="AD84" s="29"/>
      <c r="AE84" s="29"/>
      <c r="AF84" s="29"/>
      <c r="AG84" s="29"/>
      <c r="AH84" s="29"/>
      <c r="AI84" s="29"/>
      <c r="AJ84" s="29"/>
      <c r="AK84" s="29"/>
    </row>
    <row r="85" spans="1:37" s="62" customFormat="1" ht="13.05" customHeight="1">
      <c r="A85" s="85"/>
      <c r="B85" s="112" t="s">
        <v>307</v>
      </c>
      <c r="C85" s="108"/>
      <c r="D85" s="85"/>
      <c r="E85" s="85"/>
      <c r="F85" s="111">
        <v>-524.9</v>
      </c>
      <c r="G85" s="111">
        <v>0</v>
      </c>
      <c r="H85" s="111">
        <v>0</v>
      </c>
      <c r="I85" s="111">
        <v>0</v>
      </c>
      <c r="J85" s="111">
        <v>0</v>
      </c>
      <c r="K85" s="113"/>
      <c r="L85" s="113"/>
      <c r="M85" s="113"/>
      <c r="N85" s="113"/>
      <c r="O85" s="113"/>
      <c r="P85" s="113"/>
      <c r="Q85" s="113"/>
      <c r="R85" s="113"/>
      <c r="S85" s="4"/>
      <c r="T85" s="61">
        <f t="shared" si="26"/>
        <v>1</v>
      </c>
      <c r="U85" s="454">
        <v>1</v>
      </c>
      <c r="V85" s="29"/>
      <c r="W85" s="29"/>
      <c r="X85" s="29"/>
      <c r="Y85" s="29"/>
      <c r="Z85" s="29"/>
      <c r="AA85" s="29"/>
      <c r="AB85" s="29"/>
      <c r="AC85" s="29"/>
      <c r="AD85" s="29"/>
      <c r="AE85" s="29"/>
      <c r="AF85" s="29"/>
      <c r="AG85" s="29"/>
      <c r="AH85" s="29"/>
      <c r="AI85" s="29"/>
      <c r="AJ85" s="29"/>
      <c r="AK85" s="29"/>
    </row>
    <row r="86" spans="1:37" s="62" customFormat="1" ht="13.05" customHeight="1">
      <c r="A86" s="85"/>
      <c r="B86" s="112" t="s">
        <v>309</v>
      </c>
      <c r="C86" s="85"/>
      <c r="D86" s="85"/>
      <c r="E86" s="85"/>
      <c r="F86" s="111">
        <v>48.6</v>
      </c>
      <c r="G86" s="111">
        <v>36.5</v>
      </c>
      <c r="H86" s="111">
        <v>29.1</v>
      </c>
      <c r="I86" s="111">
        <v>70.400000000000006</v>
      </c>
      <c r="J86" s="111">
        <v>165.7</v>
      </c>
      <c r="K86" s="71">
        <v>0</v>
      </c>
      <c r="L86" s="71">
        <v>0</v>
      </c>
      <c r="M86" s="71">
        <v>0</v>
      </c>
      <c r="N86" s="71">
        <v>0</v>
      </c>
      <c r="O86" s="71">
        <v>0</v>
      </c>
      <c r="P86" s="71">
        <v>0</v>
      </c>
      <c r="Q86" s="71">
        <v>0</v>
      </c>
      <c r="R86" s="71">
        <v>0</v>
      </c>
      <c r="S86" s="4"/>
      <c r="T86" s="61">
        <f t="shared" si="26"/>
        <v>1</v>
      </c>
      <c r="U86" s="454">
        <v>1</v>
      </c>
      <c r="V86" s="29"/>
      <c r="W86" s="29"/>
      <c r="X86" s="29"/>
      <c r="Y86" s="29"/>
      <c r="Z86" s="29"/>
      <c r="AA86" s="29"/>
      <c r="AB86" s="29"/>
      <c r="AC86" s="29"/>
      <c r="AD86" s="29"/>
      <c r="AE86" s="29"/>
      <c r="AF86" s="29"/>
      <c r="AG86" s="29"/>
      <c r="AH86" s="29"/>
      <c r="AI86" s="29"/>
      <c r="AJ86" s="29"/>
      <c r="AK86" s="29"/>
    </row>
    <row r="87" spans="1:37" s="62" customFormat="1" ht="13.05" customHeight="1">
      <c r="A87" s="85"/>
      <c r="B87" s="112" t="s">
        <v>95</v>
      </c>
      <c r="C87" s="85"/>
      <c r="D87" s="85"/>
      <c r="E87" s="85"/>
      <c r="F87" s="111">
        <v>0</v>
      </c>
      <c r="G87" s="111">
        <v>896.7</v>
      </c>
      <c r="H87" s="111">
        <v>0</v>
      </c>
      <c r="I87" s="111">
        <v>997.2</v>
      </c>
      <c r="J87" s="111">
        <v>1100</v>
      </c>
      <c r="K87" s="70"/>
      <c r="L87" s="70"/>
      <c r="M87" s="70"/>
      <c r="N87" s="70"/>
      <c r="O87" s="70"/>
      <c r="P87" s="70"/>
      <c r="Q87" s="70"/>
      <c r="R87" s="70"/>
      <c r="S87" s="4"/>
      <c r="T87" s="61">
        <f t="shared" si="26"/>
        <v>1</v>
      </c>
      <c r="U87" s="454">
        <v>1</v>
      </c>
      <c r="V87" s="29"/>
      <c r="W87" s="29"/>
      <c r="X87" s="29"/>
      <c r="Y87" s="29"/>
      <c r="Z87" s="29"/>
      <c r="AA87" s="29"/>
      <c r="AB87" s="29"/>
      <c r="AC87" s="29"/>
      <c r="AD87" s="29"/>
      <c r="AE87" s="29"/>
      <c r="AF87" s="29"/>
      <c r="AG87" s="29"/>
      <c r="AH87" s="29"/>
      <c r="AI87" s="29"/>
      <c r="AJ87" s="29"/>
      <c r="AK87" s="29"/>
    </row>
    <row r="88" spans="1:37" s="62" customFormat="1" ht="13.05" customHeight="1">
      <c r="A88" s="85"/>
      <c r="B88" s="112" t="s">
        <v>330</v>
      </c>
      <c r="C88" s="85"/>
      <c r="D88" s="85"/>
      <c r="E88" s="85"/>
      <c r="F88" s="111">
        <v>-0.5</v>
      </c>
      <c r="G88" s="111">
        <v>-0.5</v>
      </c>
      <c r="H88" s="111">
        <v>-15</v>
      </c>
      <c r="I88" s="111">
        <v>-285</v>
      </c>
      <c r="J88" s="111">
        <v>-1100</v>
      </c>
      <c r="K88" s="81"/>
      <c r="L88" s="81"/>
      <c r="M88" s="81"/>
      <c r="N88" s="81"/>
      <c r="O88" s="81"/>
      <c r="P88" s="81"/>
      <c r="Q88" s="81"/>
      <c r="R88" s="81"/>
      <c r="S88" s="4"/>
      <c r="T88" s="61">
        <f t="shared" si="26"/>
        <v>1</v>
      </c>
      <c r="U88" s="454">
        <v>1</v>
      </c>
      <c r="V88" s="29"/>
      <c r="W88" s="29"/>
      <c r="X88" s="29"/>
      <c r="Y88" s="29"/>
      <c r="Z88" s="29"/>
      <c r="AA88" s="29"/>
      <c r="AB88" s="29"/>
      <c r="AC88" s="29"/>
      <c r="AD88" s="29"/>
      <c r="AE88" s="29"/>
      <c r="AF88" s="29"/>
      <c r="AG88" s="29"/>
      <c r="AH88" s="29"/>
      <c r="AI88" s="29"/>
      <c r="AJ88" s="29"/>
      <c r="AK88" s="29"/>
    </row>
    <row r="89" spans="1:37" s="62" customFormat="1" ht="13.05" customHeight="1">
      <c r="A89" s="85"/>
      <c r="B89" s="112" t="s">
        <v>310</v>
      </c>
      <c r="C89" s="85"/>
      <c r="D89" s="85"/>
      <c r="E89" s="85"/>
      <c r="F89" s="111">
        <v>450</v>
      </c>
      <c r="G89" s="111">
        <v>340</v>
      </c>
      <c r="H89" s="111">
        <v>0</v>
      </c>
      <c r="I89" s="111">
        <v>0</v>
      </c>
      <c r="J89" s="111">
        <v>0</v>
      </c>
      <c r="K89" s="71">
        <v>0</v>
      </c>
      <c r="L89" s="71">
        <v>0</v>
      </c>
      <c r="M89" s="71">
        <v>0</v>
      </c>
      <c r="N89" s="71">
        <v>0</v>
      </c>
      <c r="O89" s="71">
        <v>0</v>
      </c>
      <c r="P89" s="71">
        <v>0</v>
      </c>
      <c r="Q89" s="71">
        <v>0</v>
      </c>
      <c r="R89" s="71">
        <v>0</v>
      </c>
      <c r="S89" s="4"/>
      <c r="T89" s="61">
        <f t="shared" si="26"/>
        <v>1</v>
      </c>
      <c r="U89" s="454">
        <v>1</v>
      </c>
      <c r="V89" s="29"/>
      <c r="W89" s="29"/>
      <c r="X89" s="29"/>
      <c r="Y89" s="29"/>
      <c r="Z89" s="29"/>
      <c r="AA89" s="29"/>
      <c r="AB89" s="29"/>
      <c r="AC89" s="29"/>
      <c r="AD89" s="29"/>
      <c r="AE89" s="29"/>
      <c r="AF89" s="29"/>
      <c r="AG89" s="29"/>
      <c r="AH89" s="29"/>
      <c r="AI89" s="29"/>
      <c r="AJ89" s="29"/>
      <c r="AK89" s="29"/>
    </row>
    <row r="90" spans="1:37" s="62" customFormat="1" ht="13.05" customHeight="1">
      <c r="A90" s="85"/>
      <c r="B90" s="112" t="s">
        <v>311</v>
      </c>
      <c r="C90" s="85"/>
      <c r="D90" s="85"/>
      <c r="E90" s="85"/>
      <c r="F90" s="111">
        <v>-310</v>
      </c>
      <c r="G90" s="111">
        <v>-480</v>
      </c>
      <c r="H90" s="111">
        <v>0</v>
      </c>
      <c r="I90" s="111">
        <v>0</v>
      </c>
      <c r="J90" s="111">
        <v>0</v>
      </c>
      <c r="K90" s="71">
        <v>0</v>
      </c>
      <c r="L90" s="71">
        <v>0</v>
      </c>
      <c r="M90" s="71">
        <v>0</v>
      </c>
      <c r="N90" s="71">
        <v>0</v>
      </c>
      <c r="O90" s="71">
        <v>0</v>
      </c>
      <c r="P90" s="71">
        <v>0</v>
      </c>
      <c r="Q90" s="71">
        <v>0</v>
      </c>
      <c r="R90" s="71">
        <v>0</v>
      </c>
      <c r="S90" s="4"/>
      <c r="T90" s="61">
        <f t="shared" si="26"/>
        <v>1</v>
      </c>
      <c r="U90" s="454">
        <v>1</v>
      </c>
      <c r="V90" s="29"/>
      <c r="W90" s="29"/>
      <c r="X90" s="29"/>
      <c r="Y90" s="29"/>
      <c r="Z90" s="29"/>
      <c r="AA90" s="29"/>
      <c r="AB90" s="29"/>
      <c r="AC90" s="29"/>
      <c r="AD90" s="29"/>
      <c r="AE90" s="29"/>
      <c r="AF90" s="29"/>
      <c r="AG90" s="29"/>
      <c r="AH90" s="29"/>
      <c r="AI90" s="29"/>
      <c r="AJ90" s="29"/>
      <c r="AK90" s="29"/>
    </row>
    <row r="91" spans="1:37" s="62" customFormat="1" ht="13.05" customHeight="1">
      <c r="A91" s="85"/>
      <c r="B91" s="112" t="s">
        <v>622</v>
      </c>
      <c r="C91" s="85"/>
      <c r="D91" s="85"/>
      <c r="E91" s="85"/>
      <c r="F91" s="111">
        <v>0</v>
      </c>
      <c r="G91" s="111">
        <v>0</v>
      </c>
      <c r="H91" s="111">
        <v>0</v>
      </c>
      <c r="I91" s="111">
        <v>0</v>
      </c>
      <c r="J91" s="111">
        <v>0</v>
      </c>
      <c r="K91" s="81">
        <f t="shared" ref="K91:R91" si="29">K136-J136</f>
        <v>0</v>
      </c>
      <c r="L91" s="81">
        <f t="shared" si="29"/>
        <v>0</v>
      </c>
      <c r="M91" s="81">
        <f t="shared" si="29"/>
        <v>0</v>
      </c>
      <c r="N91" s="81">
        <f t="shared" si="29"/>
        <v>0</v>
      </c>
      <c r="O91" s="81">
        <f t="shared" si="29"/>
        <v>0</v>
      </c>
      <c r="P91" s="81">
        <f t="shared" si="29"/>
        <v>0</v>
      </c>
      <c r="Q91" s="81">
        <f t="shared" si="29"/>
        <v>0</v>
      </c>
      <c r="R91" s="81">
        <f t="shared" si="29"/>
        <v>0</v>
      </c>
      <c r="S91" s="4"/>
      <c r="T91" s="61">
        <f t="shared" si="26"/>
        <v>1</v>
      </c>
      <c r="U91" s="454">
        <v>1</v>
      </c>
      <c r="V91" s="29"/>
      <c r="W91" s="29"/>
      <c r="X91" s="29"/>
      <c r="Y91" s="29"/>
      <c r="Z91" s="29"/>
      <c r="AA91" s="29"/>
      <c r="AB91" s="29"/>
      <c r="AC91" s="29"/>
      <c r="AD91" s="29"/>
      <c r="AE91" s="29"/>
      <c r="AF91" s="29"/>
      <c r="AG91" s="29"/>
      <c r="AH91" s="29"/>
      <c r="AI91" s="29"/>
      <c r="AJ91" s="29"/>
      <c r="AK91" s="29"/>
    </row>
    <row r="92" spans="1:37" s="62" customFormat="1" ht="13.05" customHeight="1">
      <c r="A92" s="85"/>
      <c r="B92" s="112" t="s">
        <v>308</v>
      </c>
      <c r="C92" s="85"/>
      <c r="D92" s="85"/>
      <c r="E92" s="85"/>
      <c r="F92" s="111">
        <v>0</v>
      </c>
      <c r="G92" s="111">
        <v>-6.6</v>
      </c>
      <c r="H92" s="111">
        <v>0</v>
      </c>
      <c r="I92" s="111">
        <v>-9.8000000000000007</v>
      </c>
      <c r="J92" s="111">
        <v>0</v>
      </c>
      <c r="K92" s="109">
        <v>0</v>
      </c>
      <c r="L92" s="109">
        <v>0</v>
      </c>
      <c r="M92" s="109">
        <v>0</v>
      </c>
      <c r="N92" s="109">
        <v>0</v>
      </c>
      <c r="O92" s="109">
        <v>0</v>
      </c>
      <c r="P92" s="109">
        <v>0</v>
      </c>
      <c r="Q92" s="109">
        <v>0</v>
      </c>
      <c r="R92" s="109">
        <v>0</v>
      </c>
      <c r="S92" s="4"/>
      <c r="T92" s="61">
        <f t="shared" si="26"/>
        <v>1</v>
      </c>
      <c r="U92" s="454">
        <v>1</v>
      </c>
      <c r="V92" s="29"/>
      <c r="W92" s="29"/>
      <c r="X92" s="29"/>
      <c r="Y92" s="29"/>
      <c r="Z92" s="29"/>
      <c r="AA92" s="29"/>
      <c r="AB92" s="29"/>
      <c r="AC92" s="29"/>
      <c r="AD92" s="29"/>
      <c r="AE92" s="29"/>
      <c r="AF92" s="29"/>
      <c r="AG92" s="29"/>
      <c r="AH92" s="29"/>
      <c r="AI92" s="29"/>
      <c r="AJ92" s="29"/>
      <c r="AK92" s="29"/>
    </row>
    <row r="93" spans="1:37" s="62" customFormat="1" ht="13.05" customHeight="1">
      <c r="A93" s="85"/>
      <c r="B93" s="112" t="s">
        <v>96</v>
      </c>
      <c r="C93" s="85"/>
      <c r="D93" s="85"/>
      <c r="E93" s="85"/>
      <c r="F93" s="111">
        <v>-376.5</v>
      </c>
      <c r="G93" s="111">
        <v>-371.8</v>
      </c>
      <c r="H93" s="111">
        <v>-374.5</v>
      </c>
      <c r="I93" s="111">
        <v>-378</v>
      </c>
      <c r="J93" s="111">
        <v>-384.1</v>
      </c>
      <c r="K93" s="81"/>
      <c r="L93" s="81"/>
      <c r="M93" s="81"/>
      <c r="N93" s="81"/>
      <c r="O93" s="81"/>
      <c r="P93" s="81"/>
      <c r="Q93" s="81"/>
      <c r="R93" s="81"/>
      <c r="S93" s="4"/>
      <c r="T93" s="61">
        <f t="shared" si="26"/>
        <v>1</v>
      </c>
      <c r="U93" s="454">
        <v>1</v>
      </c>
      <c r="V93" s="29"/>
      <c r="W93" s="29"/>
      <c r="X93" s="29"/>
      <c r="Y93" s="29"/>
      <c r="Z93" s="29"/>
      <c r="AA93" s="29"/>
      <c r="AB93" s="29"/>
      <c r="AC93" s="29"/>
      <c r="AD93" s="29"/>
      <c r="AE93" s="29"/>
      <c r="AF93" s="29"/>
      <c r="AG93" s="29"/>
      <c r="AH93" s="29"/>
      <c r="AI93" s="29"/>
      <c r="AJ93" s="29"/>
      <c r="AK93" s="29"/>
    </row>
    <row r="94" spans="1:37" s="62" customFormat="1" ht="13.05" customHeight="1">
      <c r="A94" s="85"/>
      <c r="B94" s="112" t="s">
        <v>94</v>
      </c>
      <c r="C94" s="85"/>
      <c r="D94" s="85"/>
      <c r="E94" s="85"/>
      <c r="F94" s="111">
        <v>-34.799999999999997</v>
      </c>
      <c r="G94" s="111">
        <v>-25</v>
      </c>
      <c r="H94" s="111">
        <v>-24.5</v>
      </c>
      <c r="I94" s="111">
        <v>-25.3</v>
      </c>
      <c r="J94" s="111">
        <v>-31.5</v>
      </c>
      <c r="K94" s="109">
        <v>0</v>
      </c>
      <c r="L94" s="109">
        <v>0</v>
      </c>
      <c r="M94" s="109">
        <v>0</v>
      </c>
      <c r="N94" s="109">
        <v>0</v>
      </c>
      <c r="O94" s="109">
        <v>0</v>
      </c>
      <c r="P94" s="109">
        <v>0</v>
      </c>
      <c r="Q94" s="109">
        <v>0</v>
      </c>
      <c r="R94" s="109">
        <v>0</v>
      </c>
      <c r="S94" s="4"/>
      <c r="T94" s="61">
        <f t="shared" si="26"/>
        <v>1</v>
      </c>
      <c r="U94" s="454">
        <v>1</v>
      </c>
      <c r="V94" s="29"/>
      <c r="W94" s="29"/>
      <c r="X94" s="29"/>
      <c r="Y94" s="29"/>
      <c r="Z94" s="29"/>
      <c r="AA94" s="29"/>
      <c r="AB94" s="29"/>
      <c r="AC94" s="29"/>
      <c r="AD94" s="29"/>
      <c r="AE94" s="29"/>
      <c r="AF94" s="29"/>
      <c r="AG94" s="29"/>
      <c r="AH94" s="29"/>
      <c r="AI94" s="29"/>
      <c r="AJ94" s="29"/>
      <c r="AK94" s="29"/>
    </row>
    <row r="95" spans="1:37" s="62" customFormat="1" ht="13.05" customHeight="1">
      <c r="A95" s="85"/>
      <c r="B95" s="110" t="s">
        <v>93</v>
      </c>
      <c r="C95" s="74"/>
      <c r="D95" s="74"/>
      <c r="E95" s="74"/>
      <c r="F95" s="73">
        <f>SUM(F85:F94)</f>
        <v>-748.09999999999991</v>
      </c>
      <c r="G95" s="73">
        <f t="shared" ref="G95:R95" si="30">SUM(G84:G94)</f>
        <v>389.3</v>
      </c>
      <c r="H95" s="73">
        <f t="shared" si="30"/>
        <v>-384.9</v>
      </c>
      <c r="I95" s="73">
        <f t="shared" si="30"/>
        <v>369.50000000000017</v>
      </c>
      <c r="J95" s="73">
        <f t="shared" si="30"/>
        <v>-249.89999999999998</v>
      </c>
      <c r="K95" s="72">
        <f t="shared" si="30"/>
        <v>0</v>
      </c>
      <c r="L95" s="72">
        <f t="shared" si="30"/>
        <v>0</v>
      </c>
      <c r="M95" s="72">
        <f t="shared" si="30"/>
        <v>0</v>
      </c>
      <c r="N95" s="72">
        <f t="shared" si="30"/>
        <v>0</v>
      </c>
      <c r="O95" s="72">
        <f t="shared" si="30"/>
        <v>0</v>
      </c>
      <c r="P95" s="72">
        <f t="shared" si="30"/>
        <v>0</v>
      </c>
      <c r="Q95" s="72">
        <f t="shared" si="30"/>
        <v>0</v>
      </c>
      <c r="R95" s="72">
        <f t="shared" si="30"/>
        <v>0</v>
      </c>
      <c r="S95" s="4"/>
      <c r="T95" s="61">
        <f t="shared" si="26"/>
        <v>1</v>
      </c>
      <c r="U95" s="454">
        <v>1</v>
      </c>
      <c r="V95" s="29"/>
      <c r="W95" s="29"/>
      <c r="X95" s="29"/>
      <c r="Y95" s="29"/>
      <c r="Z95" s="29"/>
      <c r="AA95" s="29"/>
      <c r="AB95" s="29"/>
      <c r="AC95" s="29"/>
      <c r="AD95" s="29"/>
      <c r="AE95" s="29"/>
      <c r="AF95" s="29"/>
      <c r="AG95" s="29"/>
      <c r="AH95" s="29"/>
      <c r="AI95" s="29"/>
      <c r="AJ95" s="29"/>
      <c r="AK95" s="29"/>
    </row>
    <row r="96" spans="1:37" s="62" customFormat="1" ht="13.05" customHeight="1">
      <c r="A96" s="85"/>
      <c r="B96" s="85"/>
      <c r="C96" s="85"/>
      <c r="D96" s="85"/>
      <c r="E96" s="85"/>
      <c r="F96" s="85"/>
      <c r="G96" s="85"/>
      <c r="H96" s="85"/>
      <c r="I96" s="85"/>
      <c r="J96" s="85"/>
      <c r="K96" s="85"/>
      <c r="L96" s="85"/>
      <c r="M96" s="85"/>
      <c r="N96" s="85"/>
      <c r="O96" s="85"/>
      <c r="P96" s="85"/>
      <c r="Q96" s="85"/>
      <c r="R96" s="85"/>
      <c r="S96" s="4"/>
      <c r="T96" s="61">
        <f t="shared" si="26"/>
        <v>0</v>
      </c>
      <c r="U96" s="454">
        <v>0</v>
      </c>
      <c r="V96" s="29"/>
      <c r="W96" s="29"/>
      <c r="X96" s="29"/>
      <c r="Y96" s="29"/>
      <c r="Z96" s="29"/>
      <c r="AA96" s="29"/>
      <c r="AB96" s="29"/>
      <c r="AC96" s="29"/>
      <c r="AD96" s="29"/>
      <c r="AE96" s="29"/>
      <c r="AF96" s="29"/>
      <c r="AG96" s="29"/>
      <c r="AH96" s="29"/>
      <c r="AI96" s="29"/>
      <c r="AJ96" s="29"/>
      <c r="AK96" s="29"/>
    </row>
    <row r="97" spans="1:37" s="62" customFormat="1" ht="13.05" customHeight="1">
      <c r="A97" s="85"/>
      <c r="B97" s="85" t="s">
        <v>92</v>
      </c>
      <c r="C97" s="85"/>
      <c r="D97" s="85"/>
      <c r="E97" s="85"/>
      <c r="F97" s="111">
        <v>-0.5</v>
      </c>
      <c r="G97" s="111">
        <v>-13.9</v>
      </c>
      <c r="H97" s="111">
        <v>3.5</v>
      </c>
      <c r="I97" s="111">
        <v>-2.4</v>
      </c>
      <c r="J97" s="111">
        <v>-11.5</v>
      </c>
      <c r="K97" s="109">
        <v>0</v>
      </c>
      <c r="L97" s="109">
        <v>0</v>
      </c>
      <c r="M97" s="109">
        <v>0</v>
      </c>
      <c r="N97" s="109">
        <v>0</v>
      </c>
      <c r="O97" s="109">
        <v>0</v>
      </c>
      <c r="P97" s="109">
        <v>0</v>
      </c>
      <c r="Q97" s="109">
        <v>0</v>
      </c>
      <c r="R97" s="109">
        <v>0</v>
      </c>
      <c r="S97" s="4"/>
      <c r="T97" s="61">
        <f t="shared" si="26"/>
        <v>1</v>
      </c>
      <c r="U97" s="454">
        <v>1</v>
      </c>
      <c r="V97" s="29"/>
      <c r="W97" s="29"/>
      <c r="X97" s="29"/>
      <c r="Y97" s="29"/>
      <c r="Z97" s="29"/>
      <c r="AA97" s="29"/>
      <c r="AB97" s="29"/>
      <c r="AC97" s="29"/>
      <c r="AD97" s="29"/>
      <c r="AE97" s="29"/>
      <c r="AF97" s="29"/>
      <c r="AG97" s="29"/>
      <c r="AH97" s="29"/>
      <c r="AI97" s="29"/>
      <c r="AJ97" s="29"/>
      <c r="AK97" s="29"/>
    </row>
    <row r="98" spans="1:37" s="62" customFormat="1" ht="13.05" customHeight="1">
      <c r="A98" s="85"/>
      <c r="B98" s="85"/>
      <c r="C98" s="85"/>
      <c r="D98" s="85"/>
      <c r="E98" s="85"/>
      <c r="F98" s="85"/>
      <c r="G98" s="85"/>
      <c r="H98" s="85"/>
      <c r="I98" s="85"/>
      <c r="J98" s="85"/>
      <c r="K98" s="85"/>
      <c r="L98" s="85"/>
      <c r="M98" s="85"/>
      <c r="N98" s="85"/>
      <c r="O98" s="85"/>
      <c r="P98" s="85"/>
      <c r="Q98" s="85"/>
      <c r="R98" s="85"/>
      <c r="S98" s="4"/>
      <c r="T98" s="61">
        <f t="shared" si="26"/>
        <v>0</v>
      </c>
      <c r="U98" s="454">
        <v>0</v>
      </c>
      <c r="V98" s="29"/>
      <c r="W98" s="29"/>
      <c r="X98" s="29"/>
      <c r="Y98" s="29"/>
      <c r="Z98" s="29"/>
      <c r="AA98" s="29"/>
      <c r="AB98" s="29"/>
      <c r="AC98" s="29"/>
      <c r="AD98" s="29"/>
      <c r="AE98" s="29"/>
      <c r="AF98" s="29"/>
      <c r="AG98" s="29"/>
      <c r="AH98" s="29"/>
      <c r="AI98" s="29"/>
      <c r="AJ98" s="29"/>
      <c r="AK98" s="29"/>
    </row>
    <row r="99" spans="1:37" s="62" customFormat="1" ht="13.05" customHeight="1">
      <c r="A99" s="85"/>
      <c r="B99" s="85" t="s">
        <v>91</v>
      </c>
      <c r="C99" s="108"/>
      <c r="D99" s="85"/>
      <c r="E99" s="85"/>
      <c r="F99" s="111">
        <v>1062.8</v>
      </c>
      <c r="G99" s="451">
        <v>591.9</v>
      </c>
      <c r="H99" s="451">
        <v>1291.8</v>
      </c>
      <c r="I99" s="451">
        <v>859</v>
      </c>
      <c r="J99" s="451">
        <v>2672.9</v>
      </c>
      <c r="K99" s="81"/>
      <c r="L99" s="81"/>
      <c r="M99" s="81"/>
      <c r="N99" s="81"/>
      <c r="O99" s="81"/>
      <c r="P99" s="81"/>
      <c r="Q99" s="81"/>
      <c r="R99" s="81"/>
      <c r="S99" s="4"/>
      <c r="T99" s="61">
        <f t="shared" si="26"/>
        <v>1</v>
      </c>
      <c r="U99" s="454">
        <v>1</v>
      </c>
      <c r="V99" s="29"/>
      <c r="W99" s="29"/>
      <c r="X99" s="29"/>
      <c r="Y99" s="29"/>
      <c r="Z99" s="29"/>
      <c r="AA99" s="29"/>
      <c r="AB99" s="29"/>
      <c r="AC99" s="29"/>
      <c r="AD99" s="29"/>
      <c r="AE99" s="29"/>
      <c r="AF99" s="29"/>
      <c r="AG99" s="29"/>
      <c r="AH99" s="29"/>
      <c r="AI99" s="29"/>
      <c r="AJ99" s="29"/>
      <c r="AK99" s="29"/>
    </row>
    <row r="100" spans="1:37" s="62" customFormat="1" ht="13.05" customHeight="1">
      <c r="A100" s="85"/>
      <c r="B100" s="106" t="s">
        <v>90</v>
      </c>
      <c r="C100" s="106"/>
      <c r="D100" s="106"/>
      <c r="E100" s="106"/>
      <c r="F100" s="105">
        <f>+F73+F95+F79+F97</f>
        <v>-470.86400000000037</v>
      </c>
      <c r="G100" s="105">
        <f>+G73+G95+G79+G97</f>
        <v>699.90000000000043</v>
      </c>
      <c r="H100" s="105">
        <f>+H73+H95+H79+H97</f>
        <v>-432.79999999999939</v>
      </c>
      <c r="I100" s="105">
        <f>+I73+I95+I79+I97</f>
        <v>1813.9</v>
      </c>
      <c r="J100" s="105">
        <f>+J73+J95+J79+J97</f>
        <v>-1429.5</v>
      </c>
      <c r="K100" s="104"/>
      <c r="L100" s="104"/>
      <c r="M100" s="104"/>
      <c r="N100" s="104"/>
      <c r="O100" s="104"/>
      <c r="P100" s="104"/>
      <c r="Q100" s="104"/>
      <c r="R100" s="104"/>
      <c r="S100" s="4"/>
      <c r="T100" s="61">
        <f t="shared" si="26"/>
        <v>1</v>
      </c>
      <c r="U100" s="454">
        <v>1</v>
      </c>
      <c r="V100" s="29"/>
      <c r="W100" s="29"/>
      <c r="X100" s="29"/>
      <c r="Y100" s="29"/>
      <c r="Z100" s="29"/>
      <c r="AA100" s="29"/>
      <c r="AB100" s="29"/>
      <c r="AC100" s="29"/>
      <c r="AD100" s="29"/>
      <c r="AE100" s="29"/>
      <c r="AF100" s="29"/>
      <c r="AG100" s="29"/>
      <c r="AH100" s="29"/>
      <c r="AI100" s="29"/>
      <c r="AJ100" s="29"/>
      <c r="AK100" s="29"/>
    </row>
    <row r="101" spans="1:37" ht="13.05" customHeight="1">
      <c r="A101" s="85"/>
      <c r="B101" s="24" t="s">
        <v>89</v>
      </c>
      <c r="F101" s="102">
        <f t="shared" ref="F101:J101" si="31">SUM(F99:F100)</f>
        <v>591.93599999999958</v>
      </c>
      <c r="G101" s="102">
        <f t="shared" si="31"/>
        <v>1291.8000000000004</v>
      </c>
      <c r="H101" s="103">
        <f t="shared" si="31"/>
        <v>859.00000000000057</v>
      </c>
      <c r="I101" s="102">
        <f t="shared" si="31"/>
        <v>2672.9</v>
      </c>
      <c r="J101" s="102">
        <f t="shared" si="31"/>
        <v>1243.4000000000001</v>
      </c>
      <c r="K101" s="101"/>
      <c r="L101" s="101"/>
      <c r="M101" s="101"/>
      <c r="N101" s="101"/>
      <c r="O101" s="101"/>
      <c r="P101" s="101"/>
      <c r="Q101" s="101"/>
      <c r="R101" s="101"/>
      <c r="T101" s="61">
        <f t="shared" si="26"/>
        <v>1</v>
      </c>
      <c r="U101" s="454">
        <v>1</v>
      </c>
    </row>
    <row r="102" spans="1:37" ht="13.05" customHeight="1">
      <c r="A102" s="85"/>
      <c r="F102" s="102"/>
      <c r="G102" s="102"/>
      <c r="H102" s="103"/>
      <c r="I102" s="102"/>
      <c r="J102" s="102"/>
      <c r="K102" s="102"/>
      <c r="L102" s="102"/>
      <c r="M102" s="102"/>
      <c r="N102" s="102"/>
      <c r="O102" s="102"/>
      <c r="P102" s="102"/>
      <c r="Q102" s="102"/>
      <c r="R102" s="102"/>
      <c r="T102" s="61">
        <f t="shared" si="26"/>
        <v>0</v>
      </c>
      <c r="U102" s="454">
        <v>0</v>
      </c>
    </row>
    <row r="103" spans="1:37" ht="13.05" customHeight="1">
      <c r="A103" s="85"/>
      <c r="B103" s="22"/>
      <c r="C103" s="21"/>
      <c r="D103" s="21" t="s">
        <v>88</v>
      </c>
      <c r="E103" s="100"/>
      <c r="F103" s="99" t="str">
        <f t="shared" ref="F103:R103" si="32">IF(ABS(F101-F115)&gt;0.1,F115-F101,"OK")</f>
        <v>OK</v>
      </c>
      <c r="G103" s="99" t="str">
        <f t="shared" si="32"/>
        <v>OK</v>
      </c>
      <c r="H103" s="99" t="str">
        <f t="shared" si="32"/>
        <v>OK</v>
      </c>
      <c r="I103" s="99" t="str">
        <f t="shared" si="32"/>
        <v>OK</v>
      </c>
      <c r="J103" s="99" t="str">
        <f t="shared" si="32"/>
        <v>OK</v>
      </c>
      <c r="K103" s="99" t="str">
        <f t="shared" si="32"/>
        <v>OK</v>
      </c>
      <c r="L103" s="99" t="str">
        <f t="shared" si="32"/>
        <v>OK</v>
      </c>
      <c r="M103" s="99" t="str">
        <f t="shared" si="32"/>
        <v>OK</v>
      </c>
      <c r="N103" s="99" t="str">
        <f t="shared" si="32"/>
        <v>OK</v>
      </c>
      <c r="O103" s="99" t="str">
        <f t="shared" si="32"/>
        <v>OK</v>
      </c>
      <c r="P103" s="99" t="str">
        <f t="shared" si="32"/>
        <v>OK</v>
      </c>
      <c r="Q103" s="99" t="str">
        <f t="shared" si="32"/>
        <v>OK</v>
      </c>
      <c r="R103" s="98" t="str">
        <f t="shared" si="32"/>
        <v>OK</v>
      </c>
      <c r="T103" s="61">
        <f t="shared" si="26"/>
        <v>0</v>
      </c>
      <c r="U103" s="454">
        <v>0</v>
      </c>
    </row>
    <row r="104" spans="1:37" ht="13.05" customHeight="1">
      <c r="A104" s="85"/>
      <c r="F104" s="97"/>
      <c r="G104" s="97"/>
      <c r="H104" s="97"/>
      <c r="I104" s="97"/>
      <c r="J104" s="97"/>
      <c r="K104" s="97"/>
      <c r="L104" s="97"/>
      <c r="M104" s="97"/>
      <c r="N104" s="97"/>
      <c r="O104" s="97"/>
      <c r="P104" s="97"/>
      <c r="Q104" s="97"/>
      <c r="R104" s="97"/>
      <c r="T104" s="61">
        <f t="shared" si="26"/>
        <v>0</v>
      </c>
      <c r="U104" s="454">
        <v>0</v>
      </c>
    </row>
    <row r="105" spans="1:37" ht="13.05" customHeight="1">
      <c r="A105" s="85"/>
      <c r="B105" s="452" t="s">
        <v>359</v>
      </c>
      <c r="F105" s="4"/>
      <c r="G105" s="97"/>
      <c r="H105" s="97"/>
      <c r="I105" s="97"/>
      <c r="J105" s="97"/>
      <c r="K105" s="97"/>
      <c r="L105" s="97"/>
      <c r="M105" s="97"/>
      <c r="N105" s="97"/>
      <c r="O105" s="97"/>
      <c r="P105" s="97"/>
      <c r="Q105" s="97"/>
      <c r="R105" s="97"/>
      <c r="T105" s="61">
        <f t="shared" si="26"/>
        <v>1</v>
      </c>
      <c r="U105" s="454">
        <v>1</v>
      </c>
    </row>
    <row r="106" spans="1:37" ht="13.05" customHeight="1">
      <c r="A106" s="85"/>
      <c r="B106" s="24" t="s">
        <v>361</v>
      </c>
      <c r="F106" s="84">
        <f>SUM('DCF - Financials'!F61,'DCF - Financials'!F60,'DCF - Financials'!F65,'DCF - Financials'!F68,'DCF - Financials'!F69,'DCF - Financials'!F67,'DCF - Financials'!F97,F59,F64,F66,F70)</f>
        <v>-177.6</v>
      </c>
      <c r="G106" s="84">
        <f>SUM('DCF - Financials'!G61,'DCF - Financials'!G60,'DCF - Financials'!G65,'DCF - Financials'!G68,'DCF - Financials'!G69,'DCF - Financials'!G67,'DCF - Financials'!G97,G59,G64,G66,G70)</f>
        <v>175.10000000000002</v>
      </c>
      <c r="H106" s="84">
        <f>SUM('DCF - Financials'!H61,'DCF - Financials'!H60,'DCF - Financials'!H65,'DCF - Financials'!H68,'DCF - Financials'!H69,'DCF - Financials'!H67,'DCF - Financials'!H97,H59,H64,H66,H70)</f>
        <v>-22.499999999999986</v>
      </c>
      <c r="I106" s="84">
        <f>SUM('DCF - Financials'!I61,'DCF - Financials'!I60,'DCF - Financials'!I65,'DCF - Financials'!I68,'DCF - Financials'!I69,'DCF - Financials'!I67,'DCF - Financials'!I97,I59,I64,I66,I70)</f>
        <v>-38.299999999999997</v>
      </c>
      <c r="J106" s="84">
        <f>SUM('DCF - Financials'!J61,'DCF - Financials'!J60,'DCF - Financials'!J65,'DCF - Financials'!J68,'DCF - Financials'!J69,'DCF - Financials'!J67,'DCF - Financials'!J97,J59,J64,J66,J70)</f>
        <v>111.19999999999999</v>
      </c>
      <c r="K106" s="84">
        <f>SUM('DCF - Financials'!K61,'DCF - Financials'!K60,'DCF - Financials'!K65,'DCF - Financials'!K68,'DCF - Financials'!K69,'DCF - Financials'!K67,'DCF - Financials'!K97,K59,K64,K66,K70)</f>
        <v>0</v>
      </c>
      <c r="L106" s="84">
        <f>SUM('DCF - Financials'!L61,'DCF - Financials'!L60,'DCF - Financials'!L65,'DCF - Financials'!L68,'DCF - Financials'!L69,'DCF - Financials'!L67,'DCF - Financials'!L97,L59,L64,L66,L70)</f>
        <v>0</v>
      </c>
      <c r="M106" s="84">
        <f>SUM('DCF - Financials'!M61,'DCF - Financials'!M60,'DCF - Financials'!M65,'DCF - Financials'!M68,'DCF - Financials'!M69,'DCF - Financials'!M67,'DCF - Financials'!M97,M59,M64,M66,M70)</f>
        <v>0</v>
      </c>
      <c r="N106" s="84">
        <f>SUM('DCF - Financials'!N61,'DCF - Financials'!N60,'DCF - Financials'!N65,'DCF - Financials'!N68,'DCF - Financials'!N69,'DCF - Financials'!N67,'DCF - Financials'!N97,N59,N64,N66,N70)</f>
        <v>0</v>
      </c>
      <c r="O106" s="84">
        <f>SUM('DCF - Financials'!O61,'DCF - Financials'!O60,'DCF - Financials'!O65,'DCF - Financials'!O68,'DCF - Financials'!O69,'DCF - Financials'!O67,'DCF - Financials'!O97,O59,O64,O66,O70)</f>
        <v>0</v>
      </c>
      <c r="P106" s="84">
        <f>SUM('DCF - Financials'!P61,'DCF - Financials'!P60,'DCF - Financials'!P65,'DCF - Financials'!P68,'DCF - Financials'!P69,'DCF - Financials'!P67,'DCF - Financials'!P97,P59,P64,P66,P70)</f>
        <v>0</v>
      </c>
      <c r="Q106" s="84">
        <f>SUM('DCF - Financials'!Q61,'DCF - Financials'!Q60,'DCF - Financials'!Q65,'DCF - Financials'!Q68,'DCF - Financials'!Q69,'DCF - Financials'!Q67,'DCF - Financials'!Q97,Q59,Q64,Q66,Q70)</f>
        <v>0</v>
      </c>
      <c r="R106" s="84">
        <f>SUM('DCF - Financials'!R61,'DCF - Financials'!R60,'DCF - Financials'!R65,'DCF - Financials'!R68,'DCF - Financials'!R69,'DCF - Financials'!R67,'DCF - Financials'!R97,R59,R64,R66,R70)</f>
        <v>0</v>
      </c>
      <c r="T106" s="61">
        <f t="shared" si="26"/>
        <v>1</v>
      </c>
      <c r="U106" s="454">
        <v>1</v>
      </c>
    </row>
    <row r="107" spans="1:37" ht="13.05" customHeight="1">
      <c r="A107" s="85"/>
      <c r="B107" s="24" t="s">
        <v>365</v>
      </c>
      <c r="F107" s="84">
        <f>SUM('DCF - Financials'!F92, 'DCF - Financials'!F94,F86)</f>
        <v>13.800000000000004</v>
      </c>
      <c r="G107" s="84">
        <f>SUM('DCF - Financials'!G92, 'DCF - Financials'!G94,G86)</f>
        <v>4.8999999999999986</v>
      </c>
      <c r="H107" s="84">
        <f>SUM('DCF - Financials'!H92, 'DCF - Financials'!H94,H86)</f>
        <v>4.6000000000000014</v>
      </c>
      <c r="I107" s="84">
        <f>SUM('DCF - Financials'!I92, 'DCF - Financials'!I94,I86)</f>
        <v>35.300000000000004</v>
      </c>
      <c r="J107" s="84">
        <f>SUM('DCF - Financials'!J92, 'DCF - Financials'!J94,J86)</f>
        <v>134.19999999999999</v>
      </c>
      <c r="K107" s="84">
        <f>SUM('DCF - Financials'!K92, 'DCF - Financials'!K94,K86)</f>
        <v>0</v>
      </c>
      <c r="L107" s="84">
        <f>SUM('DCF - Financials'!L92, 'DCF - Financials'!L94,L86)</f>
        <v>0</v>
      </c>
      <c r="M107" s="84">
        <f>SUM('DCF - Financials'!M92, 'DCF - Financials'!M94,M86)</f>
        <v>0</v>
      </c>
      <c r="N107" s="84">
        <f>SUM('DCF - Financials'!N92, 'DCF - Financials'!N94,N86)</f>
        <v>0</v>
      </c>
      <c r="O107" s="84">
        <f>SUM('DCF - Financials'!O92, 'DCF - Financials'!O94,O86)</f>
        <v>0</v>
      </c>
      <c r="P107" s="84">
        <f>SUM('DCF - Financials'!P92, 'DCF - Financials'!P94,P86)</f>
        <v>0</v>
      </c>
      <c r="Q107" s="84">
        <f>SUM('DCF - Financials'!Q92, 'DCF - Financials'!Q94,Q86)</f>
        <v>0</v>
      </c>
      <c r="R107" s="84">
        <f>SUM('DCF - Financials'!R92, 'DCF - Financials'!R94,R86)</f>
        <v>0</v>
      </c>
      <c r="T107" s="61">
        <f t="shared" si="26"/>
        <v>1</v>
      </c>
      <c r="U107" s="454">
        <v>1</v>
      </c>
    </row>
    <row r="108" spans="1:37" ht="13.05" customHeight="1">
      <c r="A108" s="85"/>
      <c r="B108" s="24" t="s">
        <v>332</v>
      </c>
      <c r="F108" s="84">
        <f>F38</f>
        <v>0</v>
      </c>
      <c r="G108" s="84">
        <f t="shared" ref="G108:R108" si="33">G38</f>
        <v>0</v>
      </c>
      <c r="H108" s="84">
        <f t="shared" si="33"/>
        <v>0</v>
      </c>
      <c r="I108" s="84">
        <f t="shared" si="33"/>
        <v>0</v>
      </c>
      <c r="J108" s="84">
        <f t="shared" si="33"/>
        <v>0</v>
      </c>
      <c r="K108" s="84">
        <f t="shared" si="33"/>
        <v>0</v>
      </c>
      <c r="L108" s="84">
        <f t="shared" si="33"/>
        <v>0</v>
      </c>
      <c r="M108" s="84">
        <f t="shared" si="33"/>
        <v>0</v>
      </c>
      <c r="N108" s="84">
        <f t="shared" si="33"/>
        <v>0</v>
      </c>
      <c r="O108" s="84">
        <f t="shared" si="33"/>
        <v>0</v>
      </c>
      <c r="P108" s="84">
        <f t="shared" si="33"/>
        <v>0</v>
      </c>
      <c r="Q108" s="84">
        <f t="shared" si="33"/>
        <v>0</v>
      </c>
      <c r="R108" s="84">
        <f t="shared" si="33"/>
        <v>0</v>
      </c>
      <c r="T108" s="61">
        <f t="shared" si="26"/>
        <v>1</v>
      </c>
      <c r="U108" s="454">
        <v>1</v>
      </c>
    </row>
    <row r="109" spans="1:37" ht="13.05" customHeight="1">
      <c r="A109" s="85"/>
      <c r="F109" s="97"/>
      <c r="G109" s="97"/>
      <c r="H109" s="97"/>
      <c r="I109" s="97"/>
      <c r="J109" s="97"/>
      <c r="K109" s="97"/>
      <c r="L109" s="97"/>
      <c r="M109" s="97"/>
      <c r="N109" s="97"/>
      <c r="O109" s="97"/>
      <c r="P109" s="97"/>
      <c r="Q109" s="97"/>
      <c r="R109" s="97"/>
      <c r="T109" s="61">
        <f t="shared" si="26"/>
        <v>0</v>
      </c>
      <c r="U109" s="454">
        <v>0</v>
      </c>
    </row>
    <row r="110" spans="1:37" s="62" customFormat="1" ht="13.05" customHeight="1">
      <c r="A110" s="85"/>
      <c r="B110" s="735" t="s">
        <v>87</v>
      </c>
      <c r="C110" s="737"/>
      <c r="D110" s="737"/>
      <c r="E110" s="737"/>
      <c r="F110" s="737"/>
      <c r="G110" s="737"/>
      <c r="H110" s="737"/>
      <c r="I110" s="737"/>
      <c r="J110" s="737"/>
      <c r="K110" s="737"/>
      <c r="L110" s="737"/>
      <c r="M110" s="737"/>
      <c r="N110" s="737"/>
      <c r="O110" s="737"/>
      <c r="P110" s="737"/>
      <c r="Q110" s="737"/>
      <c r="R110" s="737"/>
      <c r="S110" s="4"/>
      <c r="T110" s="61">
        <f t="shared" si="26"/>
        <v>1</v>
      </c>
      <c r="U110" s="454">
        <v>1</v>
      </c>
      <c r="V110" s="29"/>
      <c r="W110" s="29"/>
      <c r="X110" s="29"/>
      <c r="Y110" s="29"/>
      <c r="Z110" s="29"/>
      <c r="AA110" s="29"/>
      <c r="AB110" s="29"/>
      <c r="AC110" s="29"/>
      <c r="AD110" s="29"/>
      <c r="AE110" s="29"/>
      <c r="AF110" s="29"/>
      <c r="AG110" s="29"/>
      <c r="AH110" s="29"/>
      <c r="AI110" s="29"/>
      <c r="AJ110" s="29"/>
      <c r="AK110" s="29"/>
    </row>
    <row r="111" spans="1:37" ht="13.05" customHeight="1">
      <c r="A111" s="85"/>
      <c r="B111" s="4"/>
      <c r="C111" s="4"/>
      <c r="D111" s="4"/>
      <c r="E111" s="4"/>
      <c r="F111" s="56"/>
      <c r="G111" s="56"/>
      <c r="H111" s="56"/>
      <c r="I111" s="55"/>
      <c r="J111" s="55"/>
      <c r="K111" s="95" t="str">
        <f>'DCF - Assumptions'!$K$6</f>
        <v>Projected Fiscal Years Ending December 31</v>
      </c>
      <c r="L111" s="95"/>
      <c r="M111" s="95"/>
      <c r="N111" s="95"/>
      <c r="O111" s="95"/>
      <c r="P111" s="95"/>
      <c r="Q111" s="95"/>
      <c r="R111" s="95"/>
      <c r="T111" s="61">
        <f t="shared" si="26"/>
        <v>0</v>
      </c>
      <c r="U111" s="454">
        <v>0</v>
      </c>
    </row>
    <row r="112" spans="1:37" ht="13.05" customHeight="1" thickBot="1">
      <c r="A112" s="85"/>
      <c r="B112" s="94"/>
      <c r="C112" s="94"/>
      <c r="D112" s="94"/>
      <c r="E112" s="94"/>
      <c r="F112" s="93">
        <f t="shared" ref="F112:R112" si="34">F$8</f>
        <v>2014</v>
      </c>
      <c r="G112" s="93">
        <f t="shared" si="34"/>
        <v>2015</v>
      </c>
      <c r="H112" s="93">
        <f t="shared" si="34"/>
        <v>2016</v>
      </c>
      <c r="I112" s="93">
        <f t="shared" si="34"/>
        <v>2017</v>
      </c>
      <c r="J112" s="93">
        <f t="shared" si="34"/>
        <v>2018</v>
      </c>
      <c r="K112" s="93">
        <f t="shared" si="34"/>
        <v>2019</v>
      </c>
      <c r="L112" s="93">
        <f t="shared" si="34"/>
        <v>2020</v>
      </c>
      <c r="M112" s="93">
        <f t="shared" si="34"/>
        <v>2021</v>
      </c>
      <c r="N112" s="93">
        <f t="shared" si="34"/>
        <v>2022</v>
      </c>
      <c r="O112" s="93">
        <f t="shared" si="34"/>
        <v>2023</v>
      </c>
      <c r="P112" s="93">
        <f t="shared" si="34"/>
        <v>2024</v>
      </c>
      <c r="Q112" s="93">
        <f t="shared" si="34"/>
        <v>2025</v>
      </c>
      <c r="R112" s="93">
        <f t="shared" si="34"/>
        <v>2026</v>
      </c>
      <c r="T112" s="61">
        <f t="shared" si="26"/>
        <v>0</v>
      </c>
      <c r="U112" s="454">
        <v>0</v>
      </c>
    </row>
    <row r="113" spans="1:259" ht="13.05" customHeight="1">
      <c r="A113" s="85"/>
      <c r="B113" s="86" t="s">
        <v>86</v>
      </c>
      <c r="C113" s="85"/>
      <c r="D113" s="85"/>
      <c r="E113" s="85"/>
      <c r="F113" s="85"/>
      <c r="G113" s="85"/>
      <c r="H113" s="84"/>
      <c r="I113" s="84"/>
      <c r="J113" s="68"/>
      <c r="K113" s="58"/>
      <c r="L113" s="58"/>
      <c r="M113" s="58"/>
      <c r="N113" s="58"/>
      <c r="O113" s="58"/>
      <c r="P113" s="58"/>
      <c r="Q113" s="58"/>
      <c r="R113" s="58"/>
      <c r="T113" s="61">
        <f t="shared" si="26"/>
        <v>1</v>
      </c>
      <c r="U113" s="454">
        <v>1</v>
      </c>
    </row>
    <row r="114" spans="1:259" ht="13.05" customHeight="1">
      <c r="A114" s="85"/>
      <c r="B114" s="92" t="s">
        <v>85</v>
      </c>
      <c r="C114" s="85"/>
      <c r="D114" s="85"/>
      <c r="E114" s="85"/>
      <c r="F114" s="68"/>
      <c r="G114" s="68"/>
      <c r="H114" s="68"/>
      <c r="I114" s="68"/>
      <c r="J114" s="68"/>
      <c r="K114" s="8"/>
      <c r="L114" s="62"/>
      <c r="M114" s="62"/>
      <c r="N114" s="62"/>
      <c r="O114" s="62"/>
      <c r="P114" s="62"/>
      <c r="Q114" s="62"/>
      <c r="R114" s="62"/>
      <c r="T114" s="61">
        <f t="shared" si="26"/>
        <v>1</v>
      </c>
      <c r="U114" s="454">
        <v>1</v>
      </c>
      <c r="IX114" s="20"/>
    </row>
    <row r="115" spans="1:259" ht="13.05" customHeight="1">
      <c r="A115" s="85"/>
      <c r="B115" s="83" t="s">
        <v>84</v>
      </c>
      <c r="C115" s="85"/>
      <c r="D115" s="85"/>
      <c r="E115" s="85"/>
      <c r="F115" s="82">
        <v>591.9</v>
      </c>
      <c r="G115" s="82">
        <v>1291.8</v>
      </c>
      <c r="H115" s="82">
        <v>859</v>
      </c>
      <c r="I115" s="82">
        <v>2672.9</v>
      </c>
      <c r="J115" s="82">
        <v>1243.4000000000001</v>
      </c>
      <c r="K115" s="77"/>
      <c r="L115" s="77"/>
      <c r="M115" s="77"/>
      <c r="N115" s="77"/>
      <c r="O115" s="77"/>
      <c r="P115" s="77"/>
      <c r="Q115" s="77"/>
      <c r="R115" s="77"/>
      <c r="T115" s="61">
        <f t="shared" si="26"/>
        <v>1</v>
      </c>
      <c r="U115" s="454">
        <v>1</v>
      </c>
      <c r="IX115" s="8"/>
    </row>
    <row r="116" spans="1:259" ht="13.05" customHeight="1">
      <c r="A116" s="85"/>
      <c r="B116" s="83" t="s">
        <v>83</v>
      </c>
      <c r="C116" s="85"/>
      <c r="D116" s="85"/>
      <c r="E116" s="85"/>
      <c r="F116" s="76">
        <v>276.7</v>
      </c>
      <c r="G116" s="76">
        <v>234</v>
      </c>
      <c r="H116" s="76">
        <v>460.4</v>
      </c>
      <c r="I116" s="76">
        <v>410.7</v>
      </c>
      <c r="J116" s="76">
        <v>6.6</v>
      </c>
      <c r="K116" s="84">
        <f t="shared" ref="K116:R116" si="35">J116</f>
        <v>6.6</v>
      </c>
      <c r="L116" s="84">
        <f t="shared" si="35"/>
        <v>6.6</v>
      </c>
      <c r="M116" s="84">
        <f t="shared" si="35"/>
        <v>6.6</v>
      </c>
      <c r="N116" s="84">
        <f t="shared" si="35"/>
        <v>6.6</v>
      </c>
      <c r="O116" s="84">
        <f t="shared" si="35"/>
        <v>6.6</v>
      </c>
      <c r="P116" s="84">
        <f t="shared" si="35"/>
        <v>6.6</v>
      </c>
      <c r="Q116" s="84">
        <f t="shared" si="35"/>
        <v>6.6</v>
      </c>
      <c r="R116" s="84">
        <f t="shared" si="35"/>
        <v>6.6</v>
      </c>
      <c r="T116" s="61">
        <f t="shared" si="26"/>
        <v>1</v>
      </c>
      <c r="U116" s="454">
        <v>1</v>
      </c>
      <c r="IX116" s="8"/>
    </row>
    <row r="117" spans="1:259" ht="13.05" customHeight="1">
      <c r="A117" s="85"/>
      <c r="B117" s="83" t="s">
        <v>295</v>
      </c>
      <c r="C117" s="85"/>
      <c r="D117" s="85"/>
      <c r="E117" s="85"/>
      <c r="F117" s="76">
        <v>198.6</v>
      </c>
      <c r="G117" s="76">
        <v>219.5</v>
      </c>
      <c r="H117" s="76">
        <v>245.2</v>
      </c>
      <c r="I117" s="76">
        <v>268</v>
      </c>
      <c r="J117" s="76">
        <v>314.10000000000002</v>
      </c>
      <c r="K117" s="81"/>
      <c r="L117" s="81"/>
      <c r="M117" s="81"/>
      <c r="N117" s="81"/>
      <c r="O117" s="81"/>
      <c r="P117" s="81"/>
      <c r="Q117" s="81"/>
      <c r="R117" s="81"/>
      <c r="T117" s="61">
        <f t="shared" si="26"/>
        <v>1</v>
      </c>
      <c r="U117" s="454">
        <v>1</v>
      </c>
      <c r="IX117" s="8"/>
    </row>
    <row r="118" spans="1:259" ht="13.05" customHeight="1">
      <c r="A118" s="85"/>
      <c r="B118" s="83" t="s">
        <v>82</v>
      </c>
      <c r="C118" s="85"/>
      <c r="D118" s="85"/>
      <c r="E118" s="85"/>
      <c r="F118" s="76">
        <v>526.20000000000005</v>
      </c>
      <c r="G118" s="76">
        <v>485.1</v>
      </c>
      <c r="H118" s="76">
        <v>459.2</v>
      </c>
      <c r="I118" s="76">
        <v>469.7</v>
      </c>
      <c r="J118" s="76">
        <v>673.8</v>
      </c>
      <c r="K118" s="81"/>
      <c r="L118" s="81"/>
      <c r="M118" s="81"/>
      <c r="N118" s="81"/>
      <c r="O118" s="81"/>
      <c r="P118" s="81"/>
      <c r="Q118" s="81"/>
      <c r="R118" s="81"/>
      <c r="T118" s="61">
        <f t="shared" si="26"/>
        <v>1</v>
      </c>
      <c r="U118" s="454">
        <v>1</v>
      </c>
      <c r="IX118" s="8"/>
    </row>
    <row r="119" spans="1:259" ht="13.05" customHeight="1">
      <c r="A119" s="85"/>
      <c r="B119" s="83" t="s">
        <v>139</v>
      </c>
      <c r="C119" s="85"/>
      <c r="D119" s="85"/>
      <c r="E119" s="85"/>
      <c r="F119" s="76">
        <v>261.8</v>
      </c>
      <c r="G119" s="76">
        <v>276.10000000000002</v>
      </c>
      <c r="H119" s="76">
        <v>149.1</v>
      </c>
      <c r="I119" s="76">
        <v>132</v>
      </c>
      <c r="J119" s="76">
        <v>194.7</v>
      </c>
      <c r="K119" s="81"/>
      <c r="L119" s="81"/>
      <c r="M119" s="81"/>
      <c r="N119" s="81"/>
      <c r="O119" s="81"/>
      <c r="P119" s="81"/>
      <c r="Q119" s="81"/>
      <c r="R119" s="81"/>
      <c r="T119" s="61">
        <f t="shared" si="26"/>
        <v>1</v>
      </c>
      <c r="U119" s="454">
        <v>1</v>
      </c>
      <c r="IX119" s="8"/>
    </row>
    <row r="120" spans="1:259" ht="13.05" customHeight="1">
      <c r="A120" s="85"/>
      <c r="B120" s="74" t="s">
        <v>81</v>
      </c>
      <c r="C120" s="74"/>
      <c r="D120" s="74"/>
      <c r="E120" s="74"/>
      <c r="F120" s="80">
        <f t="shared" ref="F120:J120" si="36">SUM(F115:F119)</f>
        <v>1855.1999999999998</v>
      </c>
      <c r="G120" s="80">
        <f t="shared" si="36"/>
        <v>2506.5</v>
      </c>
      <c r="H120" s="80">
        <f t="shared" si="36"/>
        <v>2172.9</v>
      </c>
      <c r="I120" s="80">
        <f t="shared" si="36"/>
        <v>3953.2999999999997</v>
      </c>
      <c r="J120" s="80">
        <f t="shared" si="36"/>
        <v>2432.5999999999995</v>
      </c>
      <c r="K120" s="79"/>
      <c r="L120" s="79"/>
      <c r="M120" s="79"/>
      <c r="N120" s="79"/>
      <c r="O120" s="79"/>
      <c r="P120" s="79"/>
      <c r="Q120" s="79"/>
      <c r="R120" s="79"/>
      <c r="T120" s="61">
        <f t="shared" si="26"/>
        <v>1</v>
      </c>
      <c r="U120" s="454">
        <v>1</v>
      </c>
      <c r="IX120" s="8"/>
    </row>
    <row r="121" spans="1:259" s="62" customFormat="1" ht="13.05" customHeight="1">
      <c r="A121" s="85"/>
      <c r="B121" s="29"/>
      <c r="C121" s="29"/>
      <c r="D121" s="29"/>
      <c r="E121" s="29"/>
      <c r="F121" s="87"/>
      <c r="G121" s="87"/>
      <c r="H121" s="87"/>
      <c r="I121" s="87"/>
      <c r="J121" s="87"/>
      <c r="K121" s="87"/>
      <c r="L121" s="87"/>
      <c r="M121" s="87"/>
      <c r="N121" s="87"/>
      <c r="O121" s="87"/>
      <c r="P121" s="87"/>
      <c r="Q121" s="87"/>
      <c r="R121" s="87"/>
      <c r="S121" s="4"/>
      <c r="T121" s="61">
        <f t="shared" si="26"/>
        <v>0</v>
      </c>
      <c r="U121" s="454">
        <v>0</v>
      </c>
      <c r="IX121" s="8"/>
    </row>
    <row r="122" spans="1:259" s="62" customFormat="1" ht="13.05" customHeight="1">
      <c r="A122" s="85"/>
      <c r="B122" s="29" t="s">
        <v>80</v>
      </c>
      <c r="C122" s="29"/>
      <c r="D122" s="29"/>
      <c r="E122" s="29"/>
      <c r="F122" s="87">
        <v>713.9</v>
      </c>
      <c r="G122" s="87">
        <v>732.6</v>
      </c>
      <c r="H122" s="87">
        <v>919.5</v>
      </c>
      <c r="I122" s="87">
        <v>691.4</v>
      </c>
      <c r="J122" s="87">
        <v>885.4</v>
      </c>
      <c r="K122" s="89"/>
      <c r="L122" s="89"/>
      <c r="M122" s="89"/>
      <c r="N122" s="89"/>
      <c r="O122" s="89"/>
      <c r="P122" s="89"/>
      <c r="Q122" s="89"/>
      <c r="R122" s="89"/>
      <c r="S122" s="4"/>
      <c r="T122" s="61">
        <f t="shared" si="26"/>
        <v>1</v>
      </c>
      <c r="U122" s="454">
        <v>1</v>
      </c>
      <c r="IX122" s="8"/>
    </row>
    <row r="123" spans="1:259" s="62" customFormat="1" ht="13.05" customHeight="1">
      <c r="A123" s="85"/>
      <c r="B123" s="29" t="s">
        <v>296</v>
      </c>
      <c r="C123" s="29"/>
      <c r="D123" s="29"/>
      <c r="E123" s="29"/>
      <c r="F123" s="87">
        <v>484.5</v>
      </c>
      <c r="G123" s="87">
        <v>406</v>
      </c>
      <c r="H123" s="87">
        <v>558.6</v>
      </c>
      <c r="I123" s="87">
        <v>75.099999999999994</v>
      </c>
      <c r="J123" s="87">
        <v>0</v>
      </c>
      <c r="K123" s="126">
        <v>0</v>
      </c>
      <c r="L123" s="126">
        <v>0</v>
      </c>
      <c r="M123" s="126">
        <v>0</v>
      </c>
      <c r="N123" s="126">
        <v>0</v>
      </c>
      <c r="O123" s="126">
        <v>0</v>
      </c>
      <c r="P123" s="126">
        <v>0</v>
      </c>
      <c r="Q123" s="126">
        <v>0</v>
      </c>
      <c r="R123" s="126">
        <v>0</v>
      </c>
      <c r="S123" s="4"/>
      <c r="T123" s="61">
        <f t="shared" si="26"/>
        <v>1</v>
      </c>
      <c r="U123" s="454">
        <v>1</v>
      </c>
      <c r="IX123" s="8"/>
    </row>
    <row r="124" spans="1:259" s="62" customFormat="1" ht="13.05" customHeight="1">
      <c r="A124" s="85"/>
      <c r="B124" s="29" t="s">
        <v>297</v>
      </c>
      <c r="C124" s="29"/>
      <c r="D124" s="29"/>
      <c r="E124" s="29"/>
      <c r="F124" s="87">
        <v>361.4</v>
      </c>
      <c r="G124" s="87">
        <v>434.2</v>
      </c>
      <c r="H124" s="87">
        <v>502.4</v>
      </c>
      <c r="I124" s="87">
        <v>480.5</v>
      </c>
      <c r="J124" s="87">
        <v>1484.3</v>
      </c>
      <c r="K124" s="126">
        <f>J124</f>
        <v>1484.3</v>
      </c>
      <c r="L124" s="126">
        <f t="shared" ref="L124:R124" si="37">K124</f>
        <v>1484.3</v>
      </c>
      <c r="M124" s="126">
        <f t="shared" si="37"/>
        <v>1484.3</v>
      </c>
      <c r="N124" s="126">
        <f t="shared" si="37"/>
        <v>1484.3</v>
      </c>
      <c r="O124" s="126">
        <f t="shared" si="37"/>
        <v>1484.3</v>
      </c>
      <c r="P124" s="126">
        <f t="shared" si="37"/>
        <v>1484.3</v>
      </c>
      <c r="Q124" s="126">
        <f t="shared" si="37"/>
        <v>1484.3</v>
      </c>
      <c r="R124" s="126">
        <f t="shared" si="37"/>
        <v>1484.3</v>
      </c>
      <c r="S124" s="4"/>
      <c r="T124" s="61">
        <f t="shared" si="26"/>
        <v>1</v>
      </c>
      <c r="U124" s="454">
        <v>1</v>
      </c>
      <c r="IX124" s="8"/>
    </row>
    <row r="125" spans="1:259" s="62" customFormat="1" ht="13.05" customHeight="1">
      <c r="A125" s="85"/>
      <c r="B125" s="29" t="s">
        <v>298</v>
      </c>
      <c r="C125" s="29"/>
      <c r="D125" s="29"/>
      <c r="E125" s="29"/>
      <c r="F125" s="87">
        <v>9.8000000000000007</v>
      </c>
      <c r="G125" s="87">
        <v>359.9</v>
      </c>
      <c r="H125" s="87">
        <v>346.8</v>
      </c>
      <c r="I125" s="87">
        <v>340.8</v>
      </c>
      <c r="J125" s="87">
        <v>1732.9</v>
      </c>
      <c r="K125" s="20">
        <f>J125</f>
        <v>1732.9</v>
      </c>
      <c r="L125" s="20">
        <f t="shared" ref="L125:R125" si="38">K125</f>
        <v>1732.9</v>
      </c>
      <c r="M125" s="20">
        <f t="shared" si="38"/>
        <v>1732.9</v>
      </c>
      <c r="N125" s="20">
        <f t="shared" si="38"/>
        <v>1732.9</v>
      </c>
      <c r="O125" s="20">
        <f t="shared" si="38"/>
        <v>1732.9</v>
      </c>
      <c r="P125" s="20">
        <f t="shared" si="38"/>
        <v>1732.9</v>
      </c>
      <c r="Q125" s="20">
        <f t="shared" si="38"/>
        <v>1732.9</v>
      </c>
      <c r="R125" s="20">
        <f t="shared" si="38"/>
        <v>1732.9</v>
      </c>
      <c r="S125" s="4"/>
      <c r="T125" s="61">
        <f t="shared" si="26"/>
        <v>1</v>
      </c>
      <c r="U125" s="454">
        <v>1</v>
      </c>
      <c r="IX125" s="8"/>
    </row>
    <row r="126" spans="1:259" s="62" customFormat="1" ht="13.05" customHeight="1">
      <c r="A126" s="85"/>
      <c r="B126" s="29" t="s">
        <v>299</v>
      </c>
      <c r="C126" s="29"/>
      <c r="D126" s="29"/>
      <c r="E126" s="29"/>
      <c r="F126" s="87">
        <v>111.6</v>
      </c>
      <c r="G126" s="87">
        <v>115.8</v>
      </c>
      <c r="H126" s="87">
        <v>248.8</v>
      </c>
      <c r="I126" s="87">
        <v>170.5</v>
      </c>
      <c r="J126" s="87">
        <v>24.3</v>
      </c>
      <c r="K126" s="20">
        <f>J126</f>
        <v>24.3</v>
      </c>
      <c r="L126" s="20">
        <f t="shared" ref="L126:R126" si="39">K126</f>
        <v>24.3</v>
      </c>
      <c r="M126" s="20">
        <f t="shared" si="39"/>
        <v>24.3</v>
      </c>
      <c r="N126" s="20">
        <f t="shared" si="39"/>
        <v>24.3</v>
      </c>
      <c r="O126" s="20">
        <f t="shared" si="39"/>
        <v>24.3</v>
      </c>
      <c r="P126" s="20">
        <f t="shared" si="39"/>
        <v>24.3</v>
      </c>
      <c r="Q126" s="20">
        <f t="shared" si="39"/>
        <v>24.3</v>
      </c>
      <c r="R126" s="20">
        <f t="shared" si="39"/>
        <v>24.3</v>
      </c>
      <c r="S126" s="4"/>
      <c r="T126" s="61">
        <f t="shared" si="26"/>
        <v>1</v>
      </c>
      <c r="U126" s="454">
        <v>1</v>
      </c>
      <c r="IX126" s="8"/>
    </row>
    <row r="127" spans="1:259" s="62" customFormat="1" ht="13.05" customHeight="1">
      <c r="A127" s="85"/>
      <c r="B127" s="29" t="s">
        <v>79</v>
      </c>
      <c r="C127" s="29"/>
      <c r="D127" s="29"/>
      <c r="E127" s="29"/>
      <c r="F127" s="87">
        <v>126.7</v>
      </c>
      <c r="G127" s="87">
        <v>111.9</v>
      </c>
      <c r="H127" s="87">
        <v>143.69999999999999</v>
      </c>
      <c r="I127" s="87">
        <v>120</v>
      </c>
      <c r="J127" s="87">
        <v>118.8</v>
      </c>
      <c r="K127" s="89"/>
      <c r="L127" s="89"/>
      <c r="M127" s="89"/>
      <c r="N127" s="89"/>
      <c r="O127" s="89"/>
      <c r="P127" s="89"/>
      <c r="Q127" s="89"/>
      <c r="R127" s="89"/>
      <c r="S127" s="4"/>
      <c r="T127" s="61">
        <f t="shared" si="26"/>
        <v>1</v>
      </c>
      <c r="U127" s="454">
        <v>1</v>
      </c>
      <c r="IX127" s="8"/>
    </row>
    <row r="128" spans="1:259" ht="13.05" customHeight="1">
      <c r="A128" s="85"/>
      <c r="B128" s="74" t="s">
        <v>78</v>
      </c>
      <c r="C128" s="74"/>
      <c r="D128" s="74"/>
      <c r="E128" s="74"/>
      <c r="F128" s="88">
        <f t="shared" ref="F128:J128" si="40">SUM(F115:F119,F122:F127)</f>
        <v>3663.1</v>
      </c>
      <c r="G128" s="88">
        <f t="shared" si="40"/>
        <v>4666.8999999999996</v>
      </c>
      <c r="H128" s="88">
        <f t="shared" si="40"/>
        <v>4892.7</v>
      </c>
      <c r="I128" s="88">
        <f t="shared" si="40"/>
        <v>5831.6</v>
      </c>
      <c r="J128" s="88">
        <f t="shared" si="40"/>
        <v>6678.2999999999993</v>
      </c>
      <c r="K128" s="79"/>
      <c r="L128" s="79"/>
      <c r="M128" s="79"/>
      <c r="N128" s="79"/>
      <c r="O128" s="79"/>
      <c r="P128" s="79"/>
      <c r="Q128" s="79"/>
      <c r="R128" s="79"/>
      <c r="T128" s="61">
        <f t="shared" si="26"/>
        <v>1</v>
      </c>
      <c r="U128" s="454">
        <v>1</v>
      </c>
      <c r="IX128" s="8"/>
      <c r="IY128" s="20"/>
    </row>
    <row r="129" spans="1:259" ht="13.05" customHeight="1">
      <c r="A129" s="85"/>
      <c r="B129" s="29"/>
      <c r="C129" s="29"/>
      <c r="D129" s="29"/>
      <c r="E129" s="29"/>
      <c r="F129" s="87"/>
      <c r="G129" s="87"/>
      <c r="H129" s="87"/>
      <c r="I129" s="87"/>
      <c r="J129" s="87"/>
      <c r="K129" s="87"/>
      <c r="L129" s="87"/>
      <c r="M129" s="87"/>
      <c r="N129" s="87"/>
      <c r="O129" s="87"/>
      <c r="P129" s="87"/>
      <c r="Q129" s="87"/>
      <c r="R129" s="87"/>
      <c r="T129" s="61">
        <f t="shared" si="26"/>
        <v>0</v>
      </c>
      <c r="U129" s="454">
        <v>0</v>
      </c>
      <c r="IX129" s="8"/>
    </row>
    <row r="130" spans="1:259" ht="13.05" customHeight="1">
      <c r="A130" s="85"/>
      <c r="B130" s="86" t="s">
        <v>77</v>
      </c>
      <c r="C130" s="85"/>
      <c r="D130" s="85"/>
      <c r="E130" s="85"/>
      <c r="F130" s="84"/>
      <c r="G130" s="84"/>
      <c r="H130" s="84"/>
      <c r="I130" s="84"/>
      <c r="J130" s="84"/>
      <c r="K130" s="84"/>
      <c r="L130" s="84"/>
      <c r="M130" s="84"/>
      <c r="N130" s="84"/>
      <c r="O130" s="84"/>
      <c r="P130" s="84"/>
      <c r="Q130" s="84"/>
      <c r="R130" s="84"/>
      <c r="T130" s="61">
        <f t="shared" si="26"/>
        <v>1</v>
      </c>
      <c r="U130" s="454">
        <v>1</v>
      </c>
      <c r="IX130" s="8"/>
    </row>
    <row r="131" spans="1:259" ht="13.05" customHeight="1">
      <c r="A131" s="85"/>
      <c r="B131" s="83" t="s">
        <v>76</v>
      </c>
      <c r="C131" s="29"/>
      <c r="D131" s="29"/>
      <c r="E131" s="29"/>
      <c r="F131" s="82">
        <v>153.9</v>
      </c>
      <c r="G131" s="82">
        <v>222.8</v>
      </c>
      <c r="H131" s="82">
        <v>186.7</v>
      </c>
      <c r="I131" s="82">
        <v>194.6</v>
      </c>
      <c r="J131" s="82">
        <v>264.3</v>
      </c>
      <c r="K131" s="81"/>
      <c r="L131" s="81"/>
      <c r="M131" s="81"/>
      <c r="N131" s="81"/>
      <c r="O131" s="81"/>
      <c r="P131" s="81"/>
      <c r="Q131" s="81"/>
      <c r="R131" s="81"/>
      <c r="T131" s="61">
        <f t="shared" si="26"/>
        <v>1</v>
      </c>
      <c r="U131" s="454">
        <v>1</v>
      </c>
      <c r="IX131" s="8"/>
    </row>
    <row r="132" spans="1:259" ht="13.05" customHeight="1">
      <c r="A132" s="85"/>
      <c r="B132" s="83" t="s">
        <v>300</v>
      </c>
      <c r="C132" s="29"/>
      <c r="D132" s="29"/>
      <c r="E132" s="29"/>
      <c r="F132" s="82">
        <v>518.70000000000005</v>
      </c>
      <c r="G132" s="82">
        <v>600.6</v>
      </c>
      <c r="H132" s="82">
        <v>625</v>
      </c>
      <c r="I132" s="82">
        <v>559.20000000000005</v>
      </c>
      <c r="J132" s="82">
        <v>673.2</v>
      </c>
      <c r="K132" s="81"/>
      <c r="L132" s="81"/>
      <c r="M132" s="81"/>
      <c r="N132" s="81"/>
      <c r="O132" s="81"/>
      <c r="P132" s="81"/>
      <c r="Q132" s="81"/>
      <c r="R132" s="81"/>
      <c r="T132" s="61">
        <f t="shared" si="26"/>
        <v>1</v>
      </c>
      <c r="U132" s="454">
        <v>1</v>
      </c>
      <c r="IX132" s="8"/>
    </row>
    <row r="133" spans="1:259" ht="13.05" customHeight="1">
      <c r="A133" s="85"/>
      <c r="B133" s="74" t="s">
        <v>75</v>
      </c>
      <c r="C133" s="74"/>
      <c r="D133" s="74"/>
      <c r="E133" s="74"/>
      <c r="F133" s="80">
        <f t="shared" ref="F133:J133" si="41">SUM(F131:F132)</f>
        <v>672.6</v>
      </c>
      <c r="G133" s="80">
        <f t="shared" si="41"/>
        <v>823.40000000000009</v>
      </c>
      <c r="H133" s="80">
        <f t="shared" si="41"/>
        <v>811.7</v>
      </c>
      <c r="I133" s="80">
        <f t="shared" si="41"/>
        <v>753.80000000000007</v>
      </c>
      <c r="J133" s="80">
        <f t="shared" si="41"/>
        <v>937.5</v>
      </c>
      <c r="K133" s="79"/>
      <c r="L133" s="79"/>
      <c r="M133" s="79"/>
      <c r="N133" s="79"/>
      <c r="O133" s="79"/>
      <c r="P133" s="79"/>
      <c r="Q133" s="79"/>
      <c r="R133" s="79"/>
      <c r="T133" s="61">
        <f t="shared" si="26"/>
        <v>1</v>
      </c>
      <c r="U133" s="454">
        <v>1</v>
      </c>
      <c r="IX133" s="8"/>
    </row>
    <row r="134" spans="1:259" s="2" customFormat="1" ht="13.05" customHeight="1">
      <c r="A134" s="85"/>
      <c r="F134" s="78"/>
      <c r="G134" s="78"/>
      <c r="H134" s="78"/>
      <c r="I134" s="78"/>
      <c r="J134" s="78"/>
      <c r="K134" s="78"/>
      <c r="L134" s="78"/>
      <c r="M134" s="78"/>
      <c r="N134" s="78"/>
      <c r="O134" s="78"/>
      <c r="P134" s="78"/>
      <c r="Q134" s="78"/>
      <c r="R134" s="78"/>
      <c r="S134" s="4"/>
      <c r="T134" s="61">
        <f t="shared" si="26"/>
        <v>0</v>
      </c>
      <c r="U134" s="454">
        <v>0</v>
      </c>
      <c r="IX134" s="8"/>
    </row>
    <row r="135" spans="1:259" ht="13.05" customHeight="1">
      <c r="A135" s="85"/>
      <c r="B135" s="29" t="s">
        <v>74</v>
      </c>
      <c r="C135" s="29"/>
      <c r="D135" s="29"/>
      <c r="E135" s="29"/>
      <c r="F135" s="76">
        <v>140.5</v>
      </c>
      <c r="G135" s="76">
        <v>890.4</v>
      </c>
      <c r="H135" s="76">
        <v>876.2</v>
      </c>
      <c r="I135" s="76">
        <v>1579.5</v>
      </c>
      <c r="J135" s="76">
        <v>1600.6000000000001</v>
      </c>
      <c r="K135" s="77"/>
      <c r="L135" s="77"/>
      <c r="M135" s="77"/>
      <c r="N135" s="77"/>
      <c r="O135" s="77"/>
      <c r="P135" s="77"/>
      <c r="Q135" s="77"/>
      <c r="R135" s="77"/>
      <c r="T135" s="61">
        <f t="shared" si="26"/>
        <v>1</v>
      </c>
      <c r="U135" s="454">
        <v>1</v>
      </c>
      <c r="IX135" s="8"/>
    </row>
    <row r="136" spans="1:259" ht="13.05" customHeight="1">
      <c r="A136" s="85"/>
      <c r="B136" s="29" t="s">
        <v>73</v>
      </c>
      <c r="C136" s="29"/>
      <c r="D136" s="29"/>
      <c r="E136" s="29"/>
      <c r="F136" s="76">
        <v>0</v>
      </c>
      <c r="G136" s="76">
        <v>0</v>
      </c>
      <c r="H136" s="76">
        <v>0</v>
      </c>
      <c r="I136" s="76">
        <v>0</v>
      </c>
      <c r="J136" s="76">
        <v>0</v>
      </c>
      <c r="K136" s="77"/>
      <c r="L136" s="77"/>
      <c r="M136" s="77"/>
      <c r="N136" s="77"/>
      <c r="O136" s="77"/>
      <c r="P136" s="77"/>
      <c r="Q136" s="77"/>
      <c r="R136" s="77"/>
      <c r="T136" s="61">
        <f t="shared" si="26"/>
        <v>1</v>
      </c>
      <c r="U136" s="454">
        <v>1</v>
      </c>
      <c r="IX136" s="8"/>
    </row>
    <row r="137" spans="1:259" ht="13.05" customHeight="1">
      <c r="A137" s="85"/>
      <c r="B137" s="83" t="s">
        <v>301</v>
      </c>
      <c r="C137" s="29"/>
      <c r="D137" s="29"/>
      <c r="E137" s="29"/>
      <c r="F137" s="82">
        <v>0</v>
      </c>
      <c r="G137" s="82">
        <v>0</v>
      </c>
      <c r="H137" s="82">
        <v>0</v>
      </c>
      <c r="I137" s="82">
        <v>63.3</v>
      </c>
      <c r="J137" s="82">
        <v>206.2</v>
      </c>
      <c r="K137" s="84">
        <f>J137</f>
        <v>206.2</v>
      </c>
      <c r="L137" s="84">
        <f t="shared" ref="L137:R137" si="42">K137</f>
        <v>206.2</v>
      </c>
      <c r="M137" s="84">
        <f t="shared" si="42"/>
        <v>206.2</v>
      </c>
      <c r="N137" s="84">
        <f t="shared" si="42"/>
        <v>206.2</v>
      </c>
      <c r="O137" s="84">
        <f t="shared" si="42"/>
        <v>206.2</v>
      </c>
      <c r="P137" s="84">
        <f t="shared" si="42"/>
        <v>206.2</v>
      </c>
      <c r="Q137" s="84">
        <f t="shared" si="42"/>
        <v>206.2</v>
      </c>
      <c r="R137" s="84">
        <f t="shared" si="42"/>
        <v>206.2</v>
      </c>
      <c r="T137" s="61">
        <f t="shared" si="26"/>
        <v>1</v>
      </c>
      <c r="U137" s="454">
        <v>1</v>
      </c>
      <c r="IX137" s="8"/>
    </row>
    <row r="138" spans="1:259" ht="13.05" customHeight="1">
      <c r="A138" s="85"/>
      <c r="B138" s="83" t="s">
        <v>302</v>
      </c>
      <c r="C138" s="29"/>
      <c r="D138" s="29"/>
      <c r="E138" s="29"/>
      <c r="F138" s="82">
        <v>0</v>
      </c>
      <c r="G138" s="82">
        <v>0</v>
      </c>
      <c r="H138" s="82">
        <v>0</v>
      </c>
      <c r="I138" s="82">
        <v>0</v>
      </c>
      <c r="J138" s="82">
        <v>222.4</v>
      </c>
      <c r="K138" s="84">
        <f>J138</f>
        <v>222.4</v>
      </c>
      <c r="L138" s="84">
        <f t="shared" ref="L138:R138" si="43">K138</f>
        <v>222.4</v>
      </c>
      <c r="M138" s="84">
        <f t="shared" si="43"/>
        <v>222.4</v>
      </c>
      <c r="N138" s="84">
        <f t="shared" si="43"/>
        <v>222.4</v>
      </c>
      <c r="O138" s="84">
        <f t="shared" si="43"/>
        <v>222.4</v>
      </c>
      <c r="P138" s="84">
        <f t="shared" si="43"/>
        <v>222.4</v>
      </c>
      <c r="Q138" s="84">
        <f t="shared" si="43"/>
        <v>222.4</v>
      </c>
      <c r="R138" s="84">
        <f t="shared" si="43"/>
        <v>222.4</v>
      </c>
      <c r="T138" s="61">
        <f t="shared" ref="T138:T149" si="44">IF(NOT(ISBLANK(B138)), 1, 0)</f>
        <v>1</v>
      </c>
      <c r="U138" s="454">
        <v>1</v>
      </c>
      <c r="IX138" s="8"/>
    </row>
    <row r="139" spans="1:259" ht="13.05" customHeight="1">
      <c r="A139" s="85"/>
      <c r="B139" s="29" t="s">
        <v>72</v>
      </c>
      <c r="C139" s="29"/>
      <c r="D139" s="29"/>
      <c r="E139" s="29"/>
      <c r="F139" s="76">
        <v>429.4</v>
      </c>
      <c r="G139" s="76">
        <v>463.2</v>
      </c>
      <c r="H139" s="76">
        <v>521.9</v>
      </c>
      <c r="I139" s="76">
        <v>433.1</v>
      </c>
      <c r="J139" s="76">
        <v>467</v>
      </c>
      <c r="K139" s="75"/>
      <c r="L139" s="75"/>
      <c r="M139" s="75"/>
      <c r="N139" s="75"/>
      <c r="O139" s="75"/>
      <c r="P139" s="75"/>
      <c r="Q139" s="75"/>
      <c r="R139" s="75"/>
      <c r="T139" s="61">
        <f t="shared" si="44"/>
        <v>1</v>
      </c>
      <c r="U139" s="454">
        <v>1</v>
      </c>
      <c r="IX139" s="8"/>
    </row>
    <row r="140" spans="1:259" ht="13.05" customHeight="1">
      <c r="A140" s="85"/>
      <c r="B140" s="74" t="s">
        <v>71</v>
      </c>
      <c r="C140" s="74"/>
      <c r="D140" s="74"/>
      <c r="E140" s="74"/>
      <c r="F140" s="73">
        <f t="shared" ref="F140:J140" si="45">SUM(F135:F139,F133)</f>
        <v>1242.5</v>
      </c>
      <c r="G140" s="73">
        <f t="shared" si="45"/>
        <v>2177</v>
      </c>
      <c r="H140" s="73">
        <f t="shared" si="45"/>
        <v>2209.8000000000002</v>
      </c>
      <c r="I140" s="73">
        <f t="shared" si="45"/>
        <v>2829.7000000000003</v>
      </c>
      <c r="J140" s="73">
        <f t="shared" si="45"/>
        <v>3433.7000000000003</v>
      </c>
      <c r="K140" s="72"/>
      <c r="L140" s="72"/>
      <c r="M140" s="72"/>
      <c r="N140" s="72"/>
      <c r="O140" s="72"/>
      <c r="P140" s="72"/>
      <c r="Q140" s="72"/>
      <c r="R140" s="72"/>
      <c r="T140" s="61">
        <f t="shared" si="44"/>
        <v>1</v>
      </c>
      <c r="U140" s="454">
        <v>1</v>
      </c>
      <c r="IX140" s="8"/>
    </row>
    <row r="141" spans="1:259" ht="13.05" customHeight="1">
      <c r="A141" s="85"/>
      <c r="B141" s="29"/>
      <c r="C141" s="29"/>
      <c r="D141" s="29"/>
      <c r="E141" s="29"/>
      <c r="F141" s="71"/>
      <c r="G141" s="71"/>
      <c r="H141" s="71"/>
      <c r="I141" s="71"/>
      <c r="J141" s="71"/>
      <c r="K141" s="71"/>
      <c r="L141" s="71"/>
      <c r="M141" s="71"/>
      <c r="N141" s="71"/>
      <c r="O141" s="71"/>
      <c r="P141" s="71"/>
      <c r="Q141" s="71"/>
      <c r="R141" s="71"/>
      <c r="T141" s="61">
        <f t="shared" si="44"/>
        <v>0</v>
      </c>
      <c r="U141" s="454">
        <v>0</v>
      </c>
      <c r="IX141" s="69"/>
    </row>
    <row r="142" spans="1:259" ht="13.05" customHeight="1">
      <c r="A142" s="62"/>
      <c r="B142" s="29" t="s">
        <v>629</v>
      </c>
      <c r="C142" s="29"/>
      <c r="D142" s="29"/>
      <c r="E142" s="29"/>
      <c r="F142" s="68">
        <v>2648.7999999999997</v>
      </c>
      <c r="G142" s="68">
        <v>2757.2000000000003</v>
      </c>
      <c r="H142" s="68">
        <v>2859.9</v>
      </c>
      <c r="I142" s="68">
        <v>2981.1000000000004</v>
      </c>
      <c r="J142" s="68">
        <v>3208.4</v>
      </c>
      <c r="K142" s="67"/>
      <c r="L142" s="67"/>
      <c r="M142" s="67"/>
      <c r="N142" s="67"/>
      <c r="O142" s="67"/>
      <c r="P142" s="67"/>
      <c r="Q142" s="67"/>
      <c r="R142" s="67"/>
      <c r="T142" s="61">
        <f t="shared" si="44"/>
        <v>1</v>
      </c>
      <c r="U142" s="454">
        <v>1</v>
      </c>
      <c r="IX142" s="8"/>
    </row>
    <row r="143" spans="1:259" ht="13.05" customHeight="1">
      <c r="A143" s="62"/>
      <c r="B143" s="29" t="s">
        <v>70</v>
      </c>
      <c r="C143" s="29"/>
      <c r="D143" s="29"/>
      <c r="E143" s="29"/>
      <c r="F143" s="68">
        <v>-8.6999999999999993</v>
      </c>
      <c r="G143" s="68">
        <v>-77.7</v>
      </c>
      <c r="H143" s="68">
        <v>-72.900000000000006</v>
      </c>
      <c r="I143" s="68">
        <v>-86.9</v>
      </c>
      <c r="J143" s="68">
        <v>-82.8</v>
      </c>
      <c r="K143" s="164">
        <f t="shared" ref="K143:R143" si="46">J143</f>
        <v>-82.8</v>
      </c>
      <c r="L143" s="164">
        <f t="shared" si="46"/>
        <v>-82.8</v>
      </c>
      <c r="M143" s="164">
        <f t="shared" si="46"/>
        <v>-82.8</v>
      </c>
      <c r="N143" s="164">
        <f t="shared" si="46"/>
        <v>-82.8</v>
      </c>
      <c r="O143" s="164">
        <f t="shared" si="46"/>
        <v>-82.8</v>
      </c>
      <c r="P143" s="164">
        <f t="shared" si="46"/>
        <v>-82.8</v>
      </c>
      <c r="Q143" s="164">
        <f t="shared" si="46"/>
        <v>-82.8</v>
      </c>
      <c r="R143" s="164">
        <f t="shared" si="46"/>
        <v>-82.8</v>
      </c>
      <c r="T143" s="61">
        <f t="shared" si="44"/>
        <v>1</v>
      </c>
      <c r="U143" s="454">
        <v>1</v>
      </c>
      <c r="IX143" s="8"/>
    </row>
    <row r="144" spans="1:259" ht="13.05" customHeight="1">
      <c r="A144" s="58"/>
      <c r="B144" s="29" t="s">
        <v>69</v>
      </c>
      <c r="C144" s="29"/>
      <c r="D144" s="29"/>
      <c r="E144" s="29"/>
      <c r="F144" s="68">
        <v>-219.5</v>
      </c>
      <c r="G144" s="68">
        <v>-189.6</v>
      </c>
      <c r="H144" s="68">
        <v>-104.1</v>
      </c>
      <c r="I144" s="68">
        <v>107.7</v>
      </c>
      <c r="J144" s="68">
        <v>119</v>
      </c>
      <c r="K144" s="67"/>
      <c r="L144" s="67"/>
      <c r="M144" s="67"/>
      <c r="N144" s="67"/>
      <c r="O144" s="67"/>
      <c r="P144" s="67"/>
      <c r="Q144" s="67"/>
      <c r="R144" s="67"/>
      <c r="T144" s="61">
        <f t="shared" si="44"/>
        <v>1</v>
      </c>
      <c r="U144" s="454">
        <v>1</v>
      </c>
      <c r="IX144" s="8"/>
      <c r="IY144" s="8"/>
    </row>
    <row r="145" spans="1:258" ht="13.05" customHeight="1">
      <c r="A145" s="62"/>
      <c r="B145" s="65" t="s">
        <v>68</v>
      </c>
      <c r="C145" s="65"/>
      <c r="D145" s="65"/>
      <c r="E145" s="65"/>
      <c r="F145" s="64">
        <f t="shared" ref="F145:J145" si="47">SUM(F142:F144)</f>
        <v>2420.6</v>
      </c>
      <c r="G145" s="64">
        <f t="shared" si="47"/>
        <v>2489.9000000000005</v>
      </c>
      <c r="H145" s="64">
        <f t="shared" si="47"/>
        <v>2682.9</v>
      </c>
      <c r="I145" s="64">
        <f t="shared" si="47"/>
        <v>3001.9</v>
      </c>
      <c r="J145" s="64">
        <f t="shared" si="47"/>
        <v>3244.6</v>
      </c>
      <c r="K145" s="66"/>
      <c r="L145" s="66"/>
      <c r="M145" s="66"/>
      <c r="N145" s="66"/>
      <c r="O145" s="66"/>
      <c r="P145" s="66"/>
      <c r="Q145" s="66"/>
      <c r="R145" s="66"/>
      <c r="T145" s="61">
        <f t="shared" si="44"/>
        <v>1</v>
      </c>
      <c r="U145" s="454">
        <v>1</v>
      </c>
      <c r="IX145" s="20"/>
    </row>
    <row r="146" spans="1:258" ht="13.05" customHeight="1">
      <c r="A146" s="62"/>
      <c r="B146" s="65"/>
      <c r="C146" s="65"/>
      <c r="D146" s="65"/>
      <c r="E146" s="65"/>
      <c r="F146" s="64"/>
      <c r="G146" s="64"/>
      <c r="H146" s="64"/>
      <c r="I146" s="64"/>
      <c r="J146" s="64"/>
      <c r="K146" s="64"/>
      <c r="L146" s="64"/>
      <c r="M146" s="64"/>
      <c r="N146" s="64"/>
      <c r="O146" s="64"/>
      <c r="P146" s="64"/>
      <c r="Q146" s="64"/>
      <c r="R146" s="64"/>
      <c r="T146" s="61">
        <f t="shared" si="44"/>
        <v>0</v>
      </c>
      <c r="U146" s="454">
        <v>0</v>
      </c>
      <c r="IX146" s="20"/>
    </row>
    <row r="147" spans="1:258" ht="13.05" customHeight="1">
      <c r="A147" s="62"/>
      <c r="B147" s="65" t="s">
        <v>67</v>
      </c>
      <c r="C147" s="65"/>
      <c r="D147" s="65"/>
      <c r="E147" s="65"/>
      <c r="F147" s="64">
        <f t="shared" ref="F147:J147" si="48">F145+F140</f>
        <v>3663.1</v>
      </c>
      <c r="G147" s="64">
        <f t="shared" si="48"/>
        <v>4666.9000000000005</v>
      </c>
      <c r="H147" s="64">
        <f t="shared" si="48"/>
        <v>4892.7000000000007</v>
      </c>
      <c r="I147" s="64">
        <f t="shared" si="48"/>
        <v>5831.6</v>
      </c>
      <c r="J147" s="64">
        <f t="shared" si="48"/>
        <v>6678.3</v>
      </c>
      <c r="K147" s="63"/>
      <c r="L147" s="63"/>
      <c r="M147" s="63"/>
      <c r="N147" s="63"/>
      <c r="O147" s="63"/>
      <c r="P147" s="63"/>
      <c r="Q147" s="63"/>
      <c r="R147" s="63"/>
      <c r="T147" s="61">
        <f t="shared" si="44"/>
        <v>1</v>
      </c>
      <c r="U147" s="454">
        <v>1</v>
      </c>
      <c r="IX147" s="20"/>
    </row>
    <row r="148" spans="1:258" ht="13.05" customHeight="1">
      <c r="A148" s="62"/>
      <c r="B148" s="29"/>
      <c r="C148" s="29"/>
      <c r="D148" s="29"/>
      <c r="E148" s="29"/>
      <c r="F148" s="71"/>
      <c r="G148" s="71"/>
      <c r="H148" s="71"/>
      <c r="I148" s="71"/>
      <c r="J148" s="71"/>
      <c r="K148" s="71"/>
      <c r="L148" s="71"/>
      <c r="M148" s="71"/>
      <c r="N148" s="71"/>
      <c r="O148" s="71"/>
      <c r="P148" s="71"/>
      <c r="Q148" s="71"/>
      <c r="R148" s="71"/>
      <c r="T148" s="61">
        <f t="shared" si="44"/>
        <v>0</v>
      </c>
      <c r="U148" s="454">
        <v>0</v>
      </c>
      <c r="IX148" s="20"/>
    </row>
    <row r="149" spans="1:258" ht="13.05" customHeight="1">
      <c r="A149" s="85"/>
      <c r="B149" s="22" t="s">
        <v>66</v>
      </c>
      <c r="C149" s="21"/>
      <c r="D149" s="21"/>
      <c r="E149" s="100"/>
      <c r="F149" s="99" t="str">
        <f t="shared" ref="F149:R149" si="49">IF(ABS(F128-F147)&gt;1,F128-F147,"OK")</f>
        <v>OK</v>
      </c>
      <c r="G149" s="99" t="str">
        <f t="shared" si="49"/>
        <v>OK</v>
      </c>
      <c r="H149" s="99" t="str">
        <f t="shared" si="49"/>
        <v>OK</v>
      </c>
      <c r="I149" s="99" t="str">
        <f t="shared" si="49"/>
        <v>OK</v>
      </c>
      <c r="J149" s="99" t="str">
        <f t="shared" si="49"/>
        <v>OK</v>
      </c>
      <c r="K149" s="99" t="str">
        <f t="shared" si="49"/>
        <v>OK</v>
      </c>
      <c r="L149" s="99" t="str">
        <f t="shared" si="49"/>
        <v>OK</v>
      </c>
      <c r="M149" s="99" t="str">
        <f t="shared" si="49"/>
        <v>OK</v>
      </c>
      <c r="N149" s="99" t="str">
        <f t="shared" si="49"/>
        <v>OK</v>
      </c>
      <c r="O149" s="99" t="str">
        <f t="shared" si="49"/>
        <v>OK</v>
      </c>
      <c r="P149" s="99" t="str">
        <f t="shared" si="49"/>
        <v>OK</v>
      </c>
      <c r="Q149" s="99" t="str">
        <f t="shared" si="49"/>
        <v>OK</v>
      </c>
      <c r="R149" s="98" t="str">
        <f t="shared" si="49"/>
        <v>OK</v>
      </c>
      <c r="T149" s="61">
        <f t="shared" si="44"/>
        <v>1</v>
      </c>
      <c r="U149" s="454">
        <v>1</v>
      </c>
    </row>
    <row r="150" spans="1:258" s="2" customFormat="1" ht="13.2"/>
    <row r="151" spans="1:258" s="2" customFormat="1" ht="13.2" hidden="1">
      <c r="T151" s="51"/>
      <c r="U151" s="60"/>
    </row>
    <row r="152" spans="1:258" s="2" customFormat="1" ht="13.2" hidden="1">
      <c r="T152" s="51"/>
      <c r="U152" s="60"/>
    </row>
    <row r="153" spans="1:258" s="2" customFormat="1" ht="13.2" hidden="1">
      <c r="T153" s="51"/>
      <c r="U153" s="60"/>
    </row>
    <row r="154" spans="1:258" s="2" customFormat="1" ht="13.2" hidden="1">
      <c r="T154" s="51"/>
      <c r="U154" s="60"/>
    </row>
    <row r="155" spans="1:258" s="2" customFormat="1" ht="13.2" hidden="1">
      <c r="T155" s="51"/>
      <c r="U155" s="60"/>
    </row>
    <row r="156" spans="1:258" s="2" customFormat="1" ht="13.2" hidden="1">
      <c r="T156" s="51"/>
      <c r="U156" s="60"/>
    </row>
    <row r="157" spans="1:258" s="2" customFormat="1" ht="13.2" hidden="1">
      <c r="T157" s="51"/>
      <c r="U157" s="60"/>
    </row>
    <row r="158" spans="1:258" s="2" customFormat="1" ht="13.2" hidden="1">
      <c r="T158" s="51"/>
      <c r="U158" s="60"/>
    </row>
    <row r="159" spans="1:258" hidden="1">
      <c r="A159" s="4"/>
      <c r="B159" s="4"/>
      <c r="C159" s="4"/>
      <c r="D159" s="4"/>
      <c r="E159" s="4"/>
      <c r="F159" s="4"/>
      <c r="G159" s="4"/>
      <c r="H159" s="4"/>
      <c r="I159" s="4"/>
      <c r="J159" s="4"/>
      <c r="K159" s="4"/>
      <c r="L159" s="4"/>
      <c r="M159" s="4"/>
      <c r="N159" s="4"/>
      <c r="O159" s="4"/>
      <c r="P159" s="4"/>
      <c r="Q159" s="4"/>
      <c r="R159" s="4"/>
      <c r="T159" s="51"/>
      <c r="U159" s="50"/>
    </row>
    <row r="160" spans="1:258" hidden="1">
      <c r="A160" s="4"/>
      <c r="B160" s="4"/>
      <c r="C160" s="4"/>
      <c r="D160" s="4"/>
      <c r="E160" s="4"/>
      <c r="F160" s="4"/>
      <c r="G160" s="4"/>
      <c r="H160" s="4"/>
      <c r="I160" s="4"/>
      <c r="J160" s="4"/>
      <c r="K160" s="4"/>
      <c r="L160" s="4"/>
      <c r="M160" s="4"/>
      <c r="N160" s="4"/>
      <c r="O160" s="4"/>
      <c r="P160" s="4"/>
      <c r="Q160" s="4"/>
      <c r="R160" s="4"/>
      <c r="T160" s="51"/>
      <c r="U160" s="50"/>
    </row>
    <row r="161" spans="1:21" hidden="1">
      <c r="A161" s="4"/>
      <c r="B161" s="4"/>
      <c r="C161" s="4"/>
      <c r="D161" s="4"/>
      <c r="E161" s="4"/>
      <c r="F161" s="4"/>
      <c r="G161" s="4"/>
      <c r="H161" s="4"/>
      <c r="I161" s="4"/>
      <c r="J161" s="4"/>
      <c r="K161" s="4"/>
      <c r="L161" s="4"/>
      <c r="M161" s="4"/>
      <c r="N161" s="4"/>
      <c r="O161" s="4"/>
      <c r="P161" s="4"/>
      <c r="Q161" s="4"/>
      <c r="R161" s="4"/>
      <c r="T161" s="51"/>
      <c r="U161" s="50"/>
    </row>
    <row r="162" spans="1:21" hidden="1">
      <c r="A162" s="4"/>
      <c r="B162" s="4"/>
      <c r="C162" s="4"/>
      <c r="D162" s="4"/>
      <c r="E162" s="4"/>
      <c r="F162" s="4"/>
      <c r="G162" s="4"/>
      <c r="H162" s="4"/>
      <c r="I162" s="4"/>
      <c r="J162" s="4"/>
      <c r="K162" s="4"/>
      <c r="L162" s="4"/>
      <c r="M162" s="4"/>
      <c r="N162" s="4"/>
      <c r="O162" s="4"/>
      <c r="P162" s="4"/>
      <c r="Q162" s="4"/>
      <c r="R162" s="4"/>
      <c r="T162" s="51"/>
      <c r="U162" s="50"/>
    </row>
    <row r="163" spans="1:21" hidden="1">
      <c r="A163" s="4"/>
      <c r="B163" s="4"/>
      <c r="C163" s="4"/>
      <c r="D163" s="4"/>
      <c r="E163" s="4"/>
      <c r="F163" s="4"/>
      <c r="G163" s="4"/>
      <c r="H163" s="4"/>
      <c r="I163" s="4"/>
      <c r="J163" s="4"/>
      <c r="K163" s="4"/>
      <c r="L163" s="4"/>
      <c r="M163" s="4"/>
      <c r="N163" s="4"/>
      <c r="O163" s="4"/>
      <c r="P163" s="4"/>
      <c r="Q163" s="4"/>
      <c r="R163" s="4"/>
      <c r="T163" s="51">
        <v>1</v>
      </c>
      <c r="U163" s="50"/>
    </row>
    <row r="164" spans="1:21" s="24" customFormat="1" hidden="1">
      <c r="A164" s="4"/>
      <c r="T164" s="51">
        <v>1</v>
      </c>
      <c r="U164" s="59"/>
    </row>
    <row r="165" spans="1:21" s="24" customFormat="1" hidden="1">
      <c r="A165" s="4"/>
      <c r="T165" s="51">
        <v>1</v>
      </c>
      <c r="U165" s="59"/>
    </row>
    <row r="166" spans="1:21" s="24" customFormat="1" hidden="1">
      <c r="A166" s="4"/>
      <c r="T166" s="51">
        <v>1</v>
      </c>
      <c r="U166" s="59"/>
    </row>
    <row r="167" spans="1:21" s="24" customFormat="1" hidden="1">
      <c r="A167" s="4"/>
      <c r="T167" s="51">
        <v>1</v>
      </c>
      <c r="U167" s="59"/>
    </row>
    <row r="168" spans="1:21" hidden="1">
      <c r="B168" s="4"/>
      <c r="K168" s="58"/>
      <c r="L168" s="58"/>
      <c r="M168" s="58"/>
      <c r="N168" s="58"/>
      <c r="O168" s="58"/>
      <c r="P168" s="58"/>
      <c r="Q168" s="58"/>
      <c r="R168" s="58"/>
      <c r="T168" s="51">
        <v>1</v>
      </c>
      <c r="U168" s="50"/>
    </row>
    <row r="169" spans="1:21" hidden="1">
      <c r="K169" s="58"/>
      <c r="L169" s="58"/>
      <c r="M169" s="58"/>
      <c r="N169" s="58"/>
      <c r="O169" s="58"/>
      <c r="P169" s="58"/>
      <c r="Q169" s="58"/>
      <c r="R169" s="58"/>
      <c r="T169" s="51">
        <v>1</v>
      </c>
      <c r="U169" s="50"/>
    </row>
    <row r="170" spans="1:21" ht="13.2" hidden="1">
      <c r="B170" s="57"/>
      <c r="T170" s="51">
        <v>1</v>
      </c>
      <c r="U170" s="50"/>
    </row>
    <row r="171" spans="1:21" hidden="1">
      <c r="B171" s="4"/>
      <c r="C171" s="4"/>
      <c r="D171" s="4"/>
      <c r="E171" s="4"/>
      <c r="F171" s="56"/>
      <c r="G171" s="56"/>
      <c r="H171" s="56"/>
      <c r="I171" s="55"/>
      <c r="J171" s="55"/>
      <c r="K171" s="54"/>
      <c r="L171" s="54"/>
      <c r="M171" s="54"/>
      <c r="N171" s="54"/>
      <c r="O171" s="54"/>
      <c r="P171" s="54"/>
      <c r="Q171" s="54"/>
      <c r="R171" s="54"/>
      <c r="T171" s="51">
        <v>1</v>
      </c>
      <c r="U171" s="50"/>
    </row>
    <row r="172" spans="1:21" hidden="1">
      <c r="B172" s="4"/>
      <c r="C172" s="4"/>
      <c r="D172" s="4"/>
      <c r="E172" s="4"/>
      <c r="F172" s="53"/>
      <c r="G172" s="53"/>
      <c r="H172" s="53"/>
      <c r="I172" s="52"/>
      <c r="J172" s="52"/>
      <c r="K172" s="52"/>
      <c r="L172" s="52"/>
      <c r="M172" s="52"/>
      <c r="N172" s="52"/>
      <c r="O172" s="52"/>
      <c r="P172" s="52"/>
      <c r="Q172" s="52"/>
      <c r="R172" s="52"/>
      <c r="T172" s="51">
        <v>1</v>
      </c>
      <c r="U172" s="50"/>
    </row>
    <row r="173" spans="1:21" hidden="1">
      <c r="B173" s="4"/>
      <c r="C173" s="4"/>
      <c r="D173" s="4"/>
      <c r="E173" s="4"/>
      <c r="F173" s="4"/>
      <c r="G173" s="4"/>
      <c r="H173" s="4"/>
      <c r="I173" s="4"/>
      <c r="J173" s="4"/>
      <c r="K173" s="4"/>
      <c r="L173" s="4"/>
      <c r="M173" s="4"/>
      <c r="N173" s="4"/>
      <c r="O173" s="4"/>
      <c r="P173" s="4"/>
      <c r="Q173" s="4"/>
      <c r="R173" s="4"/>
      <c r="T173" s="51">
        <v>1</v>
      </c>
      <c r="U173" s="50"/>
    </row>
    <row r="174" spans="1:21" hidden="1">
      <c r="T174" s="51">
        <v>1</v>
      </c>
      <c r="U174" s="50"/>
    </row>
    <row r="175" spans="1:21" hidden="1">
      <c r="A175" s="4"/>
      <c r="B175" s="4"/>
      <c r="C175" s="4"/>
      <c r="D175" s="4"/>
      <c r="E175" s="4"/>
      <c r="F175" s="4"/>
      <c r="G175" s="4"/>
      <c r="H175" s="4"/>
      <c r="I175" s="4"/>
      <c r="J175" s="4"/>
      <c r="K175" s="4"/>
      <c r="L175" s="4"/>
      <c r="M175" s="4"/>
      <c r="N175" s="4"/>
      <c r="O175" s="4"/>
      <c r="P175" s="4"/>
      <c r="Q175" s="4"/>
      <c r="R175" s="4"/>
      <c r="T175" s="51">
        <v>1</v>
      </c>
      <c r="U175" s="50"/>
    </row>
    <row r="176" spans="1:21" hidden="1">
      <c r="A176" s="4"/>
      <c r="B176" s="4"/>
      <c r="C176" s="4"/>
      <c r="D176" s="4"/>
      <c r="E176" s="4"/>
      <c r="F176" s="4"/>
      <c r="G176" s="4"/>
      <c r="H176" s="4"/>
      <c r="I176" s="4"/>
      <c r="J176" s="4"/>
      <c r="K176" s="4"/>
      <c r="L176" s="4"/>
      <c r="M176" s="4"/>
      <c r="N176" s="4"/>
      <c r="O176" s="4"/>
      <c r="P176" s="4"/>
      <c r="Q176" s="4"/>
      <c r="R176" s="4"/>
    </row>
    <row r="177" spans="1:18" hidden="1">
      <c r="A177" s="4"/>
      <c r="B177" s="4"/>
      <c r="C177" s="4"/>
      <c r="D177" s="4"/>
      <c r="E177" s="4"/>
      <c r="F177" s="4"/>
      <c r="G177" s="4"/>
      <c r="H177" s="4"/>
      <c r="I177" s="4"/>
      <c r="J177" s="4"/>
      <c r="K177" s="4"/>
      <c r="L177" s="4"/>
      <c r="M177" s="4"/>
      <c r="N177" s="4"/>
      <c r="O177" s="4"/>
      <c r="P177" s="4"/>
      <c r="Q177" s="4"/>
      <c r="R177" s="4"/>
    </row>
    <row r="178" spans="1:18" hidden="1">
      <c r="A178" s="4"/>
      <c r="B178" s="4"/>
      <c r="C178" s="4"/>
      <c r="D178" s="4"/>
      <c r="E178" s="4"/>
      <c r="F178" s="4"/>
      <c r="G178" s="4"/>
      <c r="H178" s="4"/>
      <c r="I178" s="4"/>
      <c r="J178" s="4"/>
      <c r="K178" s="4"/>
      <c r="L178" s="4"/>
      <c r="M178" s="4"/>
      <c r="N178" s="4"/>
      <c r="O178" s="4"/>
      <c r="P178" s="4"/>
      <c r="Q178" s="4"/>
      <c r="R178" s="4"/>
    </row>
    <row r="179" spans="1:18" hidden="1">
      <c r="A179" s="4"/>
      <c r="B179" s="4"/>
      <c r="C179" s="4"/>
      <c r="D179" s="4"/>
      <c r="E179" s="4"/>
      <c r="F179" s="4"/>
      <c r="G179" s="4"/>
      <c r="H179" s="4"/>
      <c r="I179" s="4"/>
      <c r="J179" s="4"/>
      <c r="K179" s="4"/>
      <c r="L179" s="4"/>
      <c r="M179" s="4"/>
      <c r="N179" s="4"/>
      <c r="O179" s="4"/>
      <c r="P179" s="4"/>
      <c r="Q179" s="4"/>
      <c r="R179" s="4"/>
    </row>
    <row r="180" spans="1:18" hidden="1">
      <c r="A180" s="4"/>
      <c r="B180" s="4"/>
      <c r="C180" s="4"/>
      <c r="D180" s="4"/>
      <c r="E180" s="4"/>
      <c r="F180" s="4"/>
      <c r="G180" s="4"/>
      <c r="H180" s="4"/>
      <c r="I180" s="4"/>
      <c r="J180" s="4"/>
      <c r="K180" s="4"/>
      <c r="L180" s="4"/>
      <c r="M180" s="4"/>
      <c r="N180" s="4"/>
      <c r="O180" s="4"/>
      <c r="P180" s="4"/>
      <c r="Q180" s="4"/>
      <c r="R180" s="4"/>
    </row>
    <row r="181" spans="1:18" hidden="1">
      <c r="A181" s="4"/>
      <c r="B181" s="4"/>
      <c r="C181" s="4"/>
      <c r="D181" s="4"/>
      <c r="E181" s="4"/>
      <c r="F181" s="4"/>
      <c r="G181" s="4"/>
      <c r="H181" s="4"/>
      <c r="I181" s="4"/>
      <c r="J181" s="4"/>
      <c r="K181" s="4"/>
      <c r="L181" s="4"/>
      <c r="M181" s="4"/>
      <c r="N181" s="4"/>
      <c r="O181" s="4"/>
      <c r="P181" s="4"/>
      <c r="Q181" s="4"/>
      <c r="R181" s="4"/>
    </row>
    <row r="182" spans="1:18" hidden="1">
      <c r="A182" s="4"/>
      <c r="B182" s="4"/>
      <c r="C182" s="4"/>
      <c r="D182" s="4"/>
      <c r="E182" s="4"/>
      <c r="F182" s="4"/>
      <c r="G182" s="4"/>
      <c r="H182" s="4"/>
      <c r="I182" s="4"/>
      <c r="J182" s="4"/>
      <c r="K182" s="4"/>
      <c r="L182" s="4"/>
      <c r="M182" s="4"/>
      <c r="N182" s="4"/>
      <c r="O182" s="4"/>
      <c r="P182" s="4"/>
      <c r="Q182" s="4"/>
      <c r="R182" s="4"/>
    </row>
    <row r="183" spans="1:18" hidden="1">
      <c r="A183" s="4"/>
      <c r="B183" s="4"/>
      <c r="C183" s="4"/>
      <c r="D183" s="4"/>
      <c r="E183" s="4"/>
      <c r="F183" s="4"/>
      <c r="G183" s="4"/>
      <c r="H183" s="4"/>
      <c r="I183" s="4"/>
      <c r="J183" s="4"/>
      <c r="K183" s="4"/>
      <c r="L183" s="4"/>
      <c r="M183" s="4"/>
      <c r="N183" s="4"/>
      <c r="O183" s="4"/>
      <c r="P183" s="4"/>
      <c r="Q183" s="4"/>
      <c r="R183" s="4"/>
    </row>
    <row r="184" spans="1:18" hidden="1">
      <c r="A184" s="4"/>
      <c r="B184" s="4"/>
      <c r="C184" s="4"/>
      <c r="D184" s="4"/>
      <c r="E184" s="4"/>
      <c r="F184" s="4"/>
      <c r="G184" s="4"/>
      <c r="H184" s="4"/>
      <c r="I184" s="4"/>
      <c r="J184" s="4"/>
      <c r="K184" s="4"/>
      <c r="L184" s="4"/>
      <c r="M184" s="4"/>
      <c r="N184" s="4"/>
      <c r="O184" s="4"/>
      <c r="P184" s="4"/>
      <c r="Q184" s="4"/>
      <c r="R184" s="4"/>
    </row>
    <row r="185" spans="1:18" hidden="1">
      <c r="A185" s="4"/>
      <c r="B185" s="4"/>
      <c r="C185" s="4"/>
      <c r="D185" s="4"/>
      <c r="E185" s="4"/>
      <c r="F185" s="4"/>
      <c r="G185" s="4"/>
      <c r="H185" s="4"/>
      <c r="I185" s="4"/>
      <c r="J185" s="4"/>
      <c r="K185" s="4"/>
      <c r="L185" s="4"/>
      <c r="M185" s="4"/>
      <c r="N185" s="4"/>
      <c r="O185" s="4"/>
      <c r="P185" s="4"/>
      <c r="Q185" s="4"/>
      <c r="R185" s="4"/>
    </row>
    <row r="186" spans="1:18" hidden="1">
      <c r="A186" s="4"/>
      <c r="B186" s="4"/>
      <c r="C186" s="4"/>
      <c r="D186" s="4"/>
      <c r="E186" s="4"/>
      <c r="F186" s="4"/>
      <c r="G186" s="4"/>
      <c r="H186" s="4"/>
      <c r="I186" s="4"/>
      <c r="J186" s="4"/>
      <c r="K186" s="4"/>
      <c r="L186" s="4"/>
      <c r="M186" s="4"/>
      <c r="N186" s="4"/>
      <c r="O186" s="4"/>
      <c r="P186" s="4"/>
      <c r="Q186" s="4"/>
      <c r="R186" s="4"/>
    </row>
    <row r="187" spans="1:18" hidden="1">
      <c r="A187" s="4"/>
      <c r="B187" s="4"/>
      <c r="C187" s="4"/>
      <c r="D187" s="4"/>
      <c r="E187" s="4"/>
      <c r="F187" s="4"/>
      <c r="G187" s="4"/>
      <c r="H187" s="4"/>
      <c r="I187" s="4"/>
      <c r="J187" s="4"/>
      <c r="K187" s="4"/>
      <c r="L187" s="4"/>
      <c r="M187" s="4"/>
      <c r="N187" s="4"/>
      <c r="O187" s="4"/>
      <c r="P187" s="4"/>
      <c r="Q187" s="4"/>
      <c r="R187" s="4"/>
    </row>
    <row r="188" spans="1:18" hidden="1">
      <c r="A188" s="4"/>
      <c r="B188" s="4"/>
      <c r="C188" s="4"/>
      <c r="D188" s="4"/>
      <c r="E188" s="4"/>
      <c r="F188" s="4"/>
      <c r="G188" s="4"/>
      <c r="H188" s="4"/>
      <c r="I188" s="4"/>
      <c r="J188" s="4"/>
      <c r="K188" s="4"/>
      <c r="L188" s="4"/>
      <c r="M188" s="4"/>
      <c r="N188" s="4"/>
      <c r="O188" s="4"/>
      <c r="P188" s="4"/>
      <c r="Q188" s="4"/>
      <c r="R188" s="4"/>
    </row>
    <row r="189" spans="1:18" hidden="1">
      <c r="A189" s="4"/>
      <c r="B189" s="4"/>
      <c r="C189" s="4"/>
      <c r="D189" s="4"/>
      <c r="E189" s="4"/>
      <c r="F189" s="4"/>
      <c r="G189" s="4"/>
      <c r="H189" s="4"/>
      <c r="I189" s="4"/>
      <c r="J189" s="4"/>
      <c r="K189" s="4"/>
      <c r="L189" s="4"/>
      <c r="M189" s="4"/>
      <c r="N189" s="4"/>
      <c r="O189" s="4"/>
      <c r="P189" s="4"/>
      <c r="Q189" s="4"/>
      <c r="R189" s="4"/>
    </row>
    <row r="190" spans="1:18" hidden="1">
      <c r="A190" s="4"/>
      <c r="B190" s="4"/>
      <c r="C190" s="4"/>
      <c r="D190" s="4"/>
      <c r="E190" s="4"/>
      <c r="F190" s="4"/>
      <c r="G190" s="4"/>
      <c r="H190" s="4"/>
      <c r="I190" s="4"/>
      <c r="J190" s="4"/>
      <c r="K190" s="4"/>
      <c r="L190" s="4"/>
      <c r="M190" s="4"/>
      <c r="N190" s="4"/>
      <c r="O190" s="4"/>
      <c r="P190" s="4"/>
      <c r="Q190" s="4"/>
      <c r="R190" s="4"/>
    </row>
    <row r="191" spans="1:18" hidden="1">
      <c r="A191" s="4"/>
      <c r="B191" s="4"/>
      <c r="C191" s="4"/>
      <c r="D191" s="4"/>
      <c r="E191" s="4"/>
      <c r="F191" s="4"/>
      <c r="G191" s="4"/>
      <c r="H191" s="4"/>
      <c r="I191" s="4"/>
      <c r="J191" s="4"/>
      <c r="K191" s="4"/>
      <c r="L191" s="4"/>
      <c r="M191" s="4"/>
      <c r="N191" s="4"/>
      <c r="O191" s="4"/>
      <c r="P191" s="4"/>
      <c r="Q191" s="4"/>
      <c r="R191" s="4"/>
    </row>
    <row r="192" spans="1:18" hidden="1">
      <c r="A192" s="4"/>
      <c r="B192" s="4"/>
      <c r="C192" s="4"/>
      <c r="D192" s="4"/>
      <c r="E192" s="4"/>
      <c r="F192" s="4"/>
      <c r="G192" s="4"/>
      <c r="H192" s="4"/>
      <c r="I192" s="4"/>
      <c r="J192" s="4"/>
      <c r="K192" s="4"/>
      <c r="L192" s="4"/>
      <c r="M192" s="4"/>
      <c r="N192" s="4"/>
      <c r="O192" s="4"/>
      <c r="P192" s="4"/>
      <c r="Q192" s="4"/>
      <c r="R192" s="4"/>
    </row>
    <row r="193" spans="1:18" hidden="1">
      <c r="A193" s="4"/>
      <c r="B193" s="4"/>
      <c r="C193" s="4"/>
      <c r="D193" s="4"/>
      <c r="E193" s="4"/>
      <c r="F193" s="4"/>
      <c r="G193" s="4"/>
      <c r="H193" s="4"/>
      <c r="I193" s="4"/>
      <c r="J193" s="4"/>
      <c r="K193" s="4"/>
      <c r="L193" s="4"/>
      <c r="M193" s="4"/>
      <c r="N193" s="4"/>
      <c r="O193" s="4"/>
      <c r="P193" s="4"/>
      <c r="Q193" s="4"/>
      <c r="R193" s="4"/>
    </row>
    <row r="194" spans="1:18" hidden="1">
      <c r="A194" s="4"/>
      <c r="B194" s="4"/>
      <c r="C194" s="4"/>
      <c r="D194" s="4"/>
      <c r="E194" s="4"/>
      <c r="F194" s="4"/>
      <c r="G194" s="4"/>
      <c r="H194" s="4"/>
      <c r="I194" s="4"/>
      <c r="J194" s="4"/>
      <c r="K194" s="4"/>
      <c r="L194" s="4"/>
      <c r="M194" s="4"/>
      <c r="N194" s="4"/>
      <c r="O194" s="4"/>
      <c r="P194" s="4"/>
      <c r="Q194" s="4"/>
      <c r="R194" s="4"/>
    </row>
    <row r="195" spans="1:18" hidden="1">
      <c r="A195" s="4"/>
      <c r="B195" s="4"/>
      <c r="C195" s="4"/>
      <c r="D195" s="4"/>
      <c r="E195" s="4"/>
      <c r="F195" s="4"/>
      <c r="G195" s="4"/>
      <c r="H195" s="4"/>
      <c r="I195" s="4"/>
      <c r="J195" s="4"/>
      <c r="K195" s="4"/>
      <c r="L195" s="4"/>
      <c r="M195" s="4"/>
      <c r="N195" s="4"/>
      <c r="O195" s="4"/>
      <c r="P195" s="4"/>
      <c r="Q195" s="4"/>
      <c r="R195" s="4"/>
    </row>
    <row r="196" spans="1:18" hidden="1">
      <c r="A196" s="4"/>
      <c r="B196" s="4"/>
      <c r="C196" s="4"/>
      <c r="D196" s="4"/>
      <c r="E196" s="4"/>
      <c r="F196" s="4"/>
      <c r="G196" s="4"/>
      <c r="H196" s="4"/>
      <c r="I196" s="4"/>
      <c r="J196" s="4"/>
      <c r="K196" s="4"/>
      <c r="L196" s="4"/>
      <c r="M196" s="4"/>
      <c r="N196" s="4"/>
      <c r="O196" s="4"/>
      <c r="P196" s="4"/>
      <c r="Q196" s="4"/>
      <c r="R196" s="4"/>
    </row>
    <row r="197" spans="1:18" hidden="1">
      <c r="A197" s="4"/>
      <c r="B197" s="4"/>
      <c r="C197" s="4"/>
      <c r="D197" s="4"/>
      <c r="E197" s="4"/>
      <c r="F197" s="4"/>
      <c r="G197" s="4"/>
      <c r="H197" s="4"/>
      <c r="I197" s="4"/>
      <c r="J197" s="4"/>
      <c r="K197" s="4"/>
      <c r="L197" s="4"/>
      <c r="M197" s="4"/>
      <c r="N197" s="4"/>
      <c r="O197" s="4"/>
      <c r="P197" s="4"/>
      <c r="Q197" s="4"/>
      <c r="R197" s="4"/>
    </row>
    <row r="198" spans="1:18" hidden="1">
      <c r="A198" s="4"/>
      <c r="B198" s="4"/>
      <c r="C198" s="4"/>
      <c r="D198" s="4"/>
      <c r="E198" s="4"/>
      <c r="F198" s="4"/>
      <c r="G198" s="4"/>
      <c r="H198" s="4"/>
      <c r="I198" s="4"/>
      <c r="J198" s="4"/>
      <c r="K198" s="4"/>
      <c r="L198" s="4"/>
      <c r="M198" s="4"/>
      <c r="N198" s="4"/>
      <c r="O198" s="4"/>
      <c r="P198" s="4"/>
      <c r="Q198" s="4"/>
      <c r="R198" s="4"/>
    </row>
    <row r="199" spans="1:18" hidden="1">
      <c r="A199" s="4"/>
      <c r="B199" s="4"/>
      <c r="C199" s="4"/>
      <c r="D199" s="4"/>
      <c r="E199" s="4"/>
      <c r="F199" s="4"/>
      <c r="G199" s="4"/>
      <c r="H199" s="4"/>
      <c r="I199" s="4"/>
      <c r="J199" s="4"/>
      <c r="K199" s="4"/>
      <c r="L199" s="4"/>
      <c r="M199" s="4"/>
      <c r="N199" s="4"/>
      <c r="O199" s="4"/>
      <c r="P199" s="4"/>
      <c r="Q199" s="4"/>
      <c r="R199" s="4"/>
    </row>
    <row r="200" spans="1:18" hidden="1">
      <c r="A200" s="4"/>
      <c r="B200" s="4"/>
      <c r="C200" s="4"/>
      <c r="D200" s="4"/>
      <c r="E200" s="4"/>
      <c r="F200" s="4"/>
      <c r="G200" s="4"/>
      <c r="H200" s="4"/>
      <c r="I200" s="4"/>
      <c r="J200" s="4"/>
      <c r="K200" s="4"/>
      <c r="L200" s="4"/>
      <c r="M200" s="4"/>
      <c r="N200" s="4"/>
      <c r="O200" s="4"/>
      <c r="P200" s="4"/>
      <c r="Q200" s="4"/>
      <c r="R200" s="4"/>
    </row>
    <row r="201" spans="1:18" hidden="1">
      <c r="A201" s="4"/>
      <c r="B201" s="4"/>
      <c r="C201" s="4"/>
      <c r="D201" s="4"/>
      <c r="E201" s="4"/>
      <c r="F201" s="4"/>
      <c r="G201" s="4"/>
      <c r="H201" s="4"/>
      <c r="I201" s="4"/>
      <c r="J201" s="4"/>
      <c r="K201" s="4"/>
      <c r="L201" s="4"/>
      <c r="M201" s="4"/>
      <c r="N201" s="4"/>
      <c r="O201" s="4"/>
      <c r="P201" s="4"/>
      <c r="Q201" s="4"/>
      <c r="R201" s="4"/>
    </row>
    <row r="202" spans="1:18" hidden="1">
      <c r="A202" s="4"/>
      <c r="B202" s="4"/>
      <c r="C202" s="4"/>
      <c r="D202" s="4"/>
      <c r="E202" s="4"/>
      <c r="F202" s="4"/>
      <c r="G202" s="4"/>
      <c r="H202" s="4"/>
      <c r="I202" s="4"/>
      <c r="J202" s="4"/>
      <c r="K202" s="4"/>
      <c r="L202" s="4"/>
      <c r="M202" s="4"/>
      <c r="N202" s="4"/>
      <c r="O202" s="4"/>
      <c r="P202" s="4"/>
      <c r="Q202" s="4"/>
      <c r="R202" s="4"/>
    </row>
    <row r="203" spans="1:18" hidden="1">
      <c r="A203" s="4"/>
      <c r="B203" s="4"/>
      <c r="C203" s="4"/>
      <c r="D203" s="4"/>
      <c r="E203" s="4"/>
      <c r="F203" s="4"/>
      <c r="G203" s="4"/>
      <c r="H203" s="4"/>
      <c r="I203" s="4"/>
      <c r="J203" s="4"/>
      <c r="K203" s="4"/>
      <c r="L203" s="4"/>
      <c r="M203" s="4"/>
      <c r="N203" s="4"/>
      <c r="O203" s="4"/>
      <c r="P203" s="4"/>
      <c r="Q203" s="4"/>
      <c r="R203" s="4"/>
    </row>
    <row r="204" spans="1:18" hidden="1">
      <c r="A204" s="4"/>
      <c r="B204" s="4"/>
      <c r="C204" s="4"/>
      <c r="D204" s="4"/>
      <c r="E204" s="4"/>
      <c r="F204" s="4"/>
      <c r="G204" s="4"/>
      <c r="H204" s="4"/>
      <c r="I204" s="4"/>
      <c r="J204" s="4"/>
      <c r="K204" s="4"/>
      <c r="L204" s="4"/>
      <c r="M204" s="4"/>
      <c r="N204" s="4"/>
      <c r="O204" s="4"/>
      <c r="P204" s="4"/>
      <c r="Q204" s="4"/>
      <c r="R204" s="4"/>
    </row>
    <row r="205" spans="1:18" hidden="1">
      <c r="A205" s="4"/>
      <c r="B205" s="4"/>
      <c r="C205" s="4"/>
      <c r="D205" s="4"/>
      <c r="E205" s="4"/>
      <c r="F205" s="4"/>
      <c r="G205" s="4"/>
      <c r="H205" s="4"/>
      <c r="I205" s="4"/>
      <c r="J205" s="4"/>
      <c r="K205" s="4"/>
      <c r="L205" s="4"/>
      <c r="M205" s="4"/>
      <c r="N205" s="4"/>
      <c r="O205" s="4"/>
      <c r="P205" s="4"/>
      <c r="Q205" s="4"/>
      <c r="R205" s="4"/>
    </row>
    <row r="206" spans="1:18" hidden="1">
      <c r="A206" s="4"/>
      <c r="B206" s="4"/>
      <c r="C206" s="4"/>
      <c r="D206" s="4"/>
      <c r="E206" s="4"/>
      <c r="F206" s="4"/>
      <c r="G206" s="4"/>
      <c r="H206" s="4"/>
      <c r="I206" s="4"/>
      <c r="J206" s="4"/>
      <c r="K206" s="4"/>
      <c r="L206" s="4"/>
      <c r="M206" s="4"/>
      <c r="N206" s="4"/>
      <c r="O206" s="4"/>
      <c r="P206" s="4"/>
      <c r="Q206" s="4"/>
      <c r="R206" s="4"/>
    </row>
    <row r="207" spans="1:18" hidden="1">
      <c r="A207" s="4"/>
      <c r="B207" s="4"/>
      <c r="C207" s="4"/>
      <c r="D207" s="4"/>
      <c r="E207" s="4"/>
      <c r="F207" s="4"/>
      <c r="G207" s="4"/>
      <c r="H207" s="4"/>
      <c r="I207" s="4"/>
      <c r="J207" s="4"/>
      <c r="K207" s="4"/>
      <c r="L207" s="4"/>
      <c r="M207" s="4"/>
      <c r="N207" s="4"/>
      <c r="O207" s="4"/>
      <c r="P207" s="4"/>
      <c r="Q207" s="4"/>
      <c r="R207" s="4"/>
    </row>
    <row r="208" spans="1:18" hidden="1">
      <c r="A208" s="4"/>
      <c r="B208" s="4"/>
      <c r="C208" s="4"/>
      <c r="D208" s="4"/>
      <c r="E208" s="4"/>
      <c r="F208" s="4"/>
      <c r="G208" s="4"/>
      <c r="H208" s="4"/>
      <c r="I208" s="4"/>
      <c r="J208" s="4"/>
      <c r="K208" s="4"/>
      <c r="L208" s="4"/>
      <c r="M208" s="4"/>
      <c r="N208" s="4"/>
      <c r="O208" s="4"/>
      <c r="P208" s="4"/>
      <c r="Q208" s="4"/>
      <c r="R208" s="4"/>
    </row>
    <row r="209" spans="1:18" hidden="1">
      <c r="A209" s="4"/>
      <c r="B209" s="4"/>
      <c r="C209" s="4"/>
      <c r="D209" s="4"/>
      <c r="E209" s="4"/>
      <c r="F209" s="4"/>
      <c r="G209" s="4"/>
      <c r="H209" s="4"/>
      <c r="I209" s="4"/>
      <c r="J209" s="4"/>
      <c r="K209" s="4"/>
      <c r="L209" s="4"/>
      <c r="M209" s="4"/>
      <c r="N209" s="4"/>
      <c r="O209" s="4"/>
      <c r="P209" s="4"/>
      <c r="Q209" s="4"/>
      <c r="R209" s="4"/>
    </row>
    <row r="210" spans="1:18" hidden="1">
      <c r="A210" s="4"/>
      <c r="B210" s="4"/>
      <c r="C210" s="4"/>
      <c r="D210" s="4"/>
      <c r="E210" s="4"/>
      <c r="F210" s="4"/>
      <c r="G210" s="4"/>
      <c r="H210" s="4"/>
      <c r="I210" s="4"/>
      <c r="J210" s="4"/>
      <c r="K210" s="4"/>
      <c r="L210" s="4"/>
      <c r="M210" s="4"/>
      <c r="N210" s="4"/>
      <c r="O210" s="4"/>
      <c r="P210" s="4"/>
      <c r="Q210" s="4"/>
      <c r="R210" s="4"/>
    </row>
    <row r="211" spans="1:18" hidden="1">
      <c r="A211" s="4"/>
      <c r="B211" s="4"/>
      <c r="C211" s="4"/>
      <c r="D211" s="4"/>
      <c r="E211" s="4"/>
      <c r="F211" s="4"/>
      <c r="G211" s="4"/>
      <c r="H211" s="4"/>
      <c r="I211" s="4"/>
      <c r="J211" s="4"/>
      <c r="K211" s="4"/>
      <c r="L211" s="4"/>
      <c r="M211" s="4"/>
      <c r="N211" s="4"/>
      <c r="O211" s="4"/>
      <c r="P211" s="4"/>
      <c r="Q211" s="4"/>
      <c r="R211" s="4"/>
    </row>
    <row r="212" spans="1:18" hidden="1">
      <c r="A212" s="4"/>
      <c r="B212" s="4"/>
      <c r="C212" s="4"/>
      <c r="D212" s="4"/>
      <c r="E212" s="4"/>
      <c r="F212" s="4"/>
      <c r="G212" s="4"/>
      <c r="H212" s="4"/>
      <c r="I212" s="4"/>
      <c r="J212" s="4"/>
      <c r="K212" s="4"/>
      <c r="L212" s="4"/>
      <c r="M212" s="4"/>
      <c r="N212" s="4"/>
      <c r="O212" s="4"/>
      <c r="P212" s="4"/>
      <c r="Q212" s="4"/>
      <c r="R212" s="4"/>
    </row>
    <row r="213" spans="1:18" hidden="1">
      <c r="A213" s="4"/>
      <c r="B213" s="4"/>
      <c r="C213" s="4"/>
      <c r="D213" s="4"/>
      <c r="E213" s="4"/>
      <c r="F213" s="4"/>
      <c r="G213" s="4"/>
      <c r="H213" s="4"/>
      <c r="I213" s="4"/>
      <c r="J213" s="4"/>
      <c r="K213" s="4"/>
      <c r="L213" s="4"/>
      <c r="M213" s="4"/>
      <c r="N213" s="4"/>
      <c r="O213" s="4"/>
      <c r="P213" s="4"/>
      <c r="Q213" s="4"/>
      <c r="R213" s="4"/>
    </row>
    <row r="214" spans="1:18" hidden="1">
      <c r="A214" s="4"/>
      <c r="B214" s="4"/>
      <c r="C214" s="4"/>
      <c r="D214" s="4"/>
      <c r="E214" s="4"/>
      <c r="F214" s="4"/>
      <c r="G214" s="4"/>
      <c r="H214" s="4"/>
      <c r="I214" s="4"/>
      <c r="J214" s="4"/>
      <c r="K214" s="4"/>
      <c r="L214" s="4"/>
      <c r="M214" s="4"/>
      <c r="N214" s="4"/>
      <c r="O214" s="4"/>
      <c r="P214" s="4"/>
      <c r="Q214" s="4"/>
      <c r="R214" s="4"/>
    </row>
    <row r="215" spans="1:18" hidden="1">
      <c r="A215" s="4"/>
      <c r="B215" s="4"/>
      <c r="C215" s="4"/>
      <c r="D215" s="4"/>
      <c r="E215" s="4"/>
      <c r="F215" s="4"/>
      <c r="G215" s="4"/>
      <c r="H215" s="4"/>
      <c r="I215" s="4"/>
      <c r="J215" s="4"/>
      <c r="K215" s="4"/>
      <c r="L215" s="4"/>
      <c r="M215" s="4"/>
      <c r="N215" s="4"/>
      <c r="O215" s="4"/>
      <c r="P215" s="4"/>
      <c r="Q215" s="4"/>
      <c r="R215" s="4"/>
    </row>
    <row r="216" spans="1:18" hidden="1">
      <c r="A216" s="4"/>
      <c r="B216" s="4"/>
      <c r="C216" s="4"/>
      <c r="D216" s="4"/>
      <c r="E216" s="4"/>
      <c r="F216" s="4"/>
      <c r="G216" s="4"/>
      <c r="H216" s="4"/>
      <c r="I216" s="4"/>
      <c r="J216" s="4"/>
      <c r="K216" s="4"/>
      <c r="L216" s="4"/>
      <c r="M216" s="4"/>
      <c r="N216" s="4"/>
      <c r="O216" s="4"/>
      <c r="P216" s="4"/>
      <c r="Q216" s="4"/>
      <c r="R216" s="4"/>
    </row>
    <row r="217" spans="1:18" hidden="1">
      <c r="A217" s="4"/>
      <c r="B217" s="4"/>
      <c r="C217" s="4"/>
      <c r="D217" s="4"/>
      <c r="E217" s="4"/>
      <c r="F217" s="4"/>
      <c r="G217" s="4"/>
      <c r="H217" s="4"/>
      <c r="I217" s="4"/>
      <c r="J217" s="4"/>
      <c r="K217" s="4"/>
      <c r="L217" s="4"/>
      <c r="M217" s="4"/>
      <c r="N217" s="4"/>
      <c r="O217" s="4"/>
      <c r="P217" s="4"/>
      <c r="Q217" s="4"/>
      <c r="R217" s="4"/>
    </row>
    <row r="218" spans="1:18" hidden="1">
      <c r="A218" s="4"/>
      <c r="B218" s="4"/>
      <c r="C218" s="4"/>
      <c r="D218" s="4"/>
      <c r="E218" s="4"/>
      <c r="F218" s="4"/>
      <c r="G218" s="4"/>
      <c r="H218" s="4"/>
      <c r="I218" s="4"/>
      <c r="J218" s="4"/>
      <c r="K218" s="4"/>
      <c r="L218" s="4"/>
      <c r="M218" s="4"/>
      <c r="N218" s="4"/>
      <c r="O218" s="4"/>
      <c r="P218" s="4"/>
      <c r="Q218" s="4"/>
      <c r="R218" s="4"/>
    </row>
    <row r="219" spans="1:18" hidden="1">
      <c r="A219" s="4"/>
      <c r="B219" s="4"/>
      <c r="C219" s="4"/>
      <c r="D219" s="4"/>
      <c r="E219" s="4"/>
      <c r="F219" s="4"/>
      <c r="G219" s="4"/>
      <c r="H219" s="4"/>
      <c r="I219" s="4"/>
      <c r="J219" s="4"/>
      <c r="K219" s="4"/>
      <c r="L219" s="4"/>
      <c r="M219" s="4"/>
      <c r="N219" s="4"/>
      <c r="O219" s="4"/>
      <c r="P219" s="4"/>
      <c r="Q219" s="4"/>
      <c r="R219" s="4"/>
    </row>
    <row r="220" spans="1:18" hidden="1">
      <c r="A220" s="4"/>
      <c r="B220" s="4"/>
      <c r="C220" s="4"/>
      <c r="D220" s="4"/>
      <c r="E220" s="4"/>
      <c r="F220" s="4"/>
      <c r="G220" s="4"/>
      <c r="H220" s="4"/>
      <c r="I220" s="4"/>
      <c r="J220" s="4"/>
      <c r="K220" s="4"/>
      <c r="L220" s="4"/>
      <c r="M220" s="4"/>
      <c r="N220" s="4"/>
      <c r="O220" s="4"/>
      <c r="P220" s="4"/>
      <c r="Q220" s="4"/>
      <c r="R220" s="4"/>
    </row>
    <row r="221" spans="1:18" hidden="1">
      <c r="A221" s="4"/>
      <c r="B221" s="4"/>
      <c r="C221" s="4"/>
      <c r="D221" s="4"/>
      <c r="E221" s="4"/>
      <c r="F221" s="4"/>
      <c r="G221" s="4"/>
      <c r="H221" s="4"/>
      <c r="I221" s="4"/>
      <c r="J221" s="4"/>
      <c r="K221" s="4"/>
      <c r="L221" s="4"/>
      <c r="M221" s="4"/>
      <c r="N221" s="4"/>
      <c r="O221" s="4"/>
      <c r="P221" s="4"/>
      <c r="Q221" s="4"/>
      <c r="R221" s="4"/>
    </row>
    <row r="222" spans="1:18" hidden="1">
      <c r="A222" s="4"/>
      <c r="B222" s="4"/>
      <c r="C222" s="4"/>
      <c r="D222" s="4"/>
      <c r="E222" s="4"/>
      <c r="F222" s="4"/>
      <c r="G222" s="4"/>
      <c r="H222" s="4"/>
      <c r="I222" s="4"/>
      <c r="J222" s="4"/>
      <c r="K222" s="4"/>
      <c r="L222" s="4"/>
      <c r="M222" s="4"/>
      <c r="N222" s="4"/>
      <c r="O222" s="4"/>
      <c r="P222" s="4"/>
      <c r="Q222" s="4"/>
      <c r="R222" s="4"/>
    </row>
    <row r="223" spans="1:18" hidden="1">
      <c r="A223" s="4"/>
      <c r="B223" s="4"/>
      <c r="C223" s="4"/>
      <c r="D223" s="4"/>
      <c r="E223" s="4"/>
      <c r="F223" s="4"/>
      <c r="G223" s="4"/>
      <c r="H223" s="4"/>
      <c r="I223" s="4"/>
      <c r="J223" s="4"/>
      <c r="K223" s="4"/>
      <c r="L223" s="4"/>
      <c r="M223" s="4"/>
      <c r="N223" s="4"/>
      <c r="O223" s="4"/>
      <c r="P223" s="4"/>
      <c r="Q223" s="4"/>
      <c r="R223" s="4"/>
    </row>
    <row r="224" spans="1:18" hidden="1">
      <c r="A224" s="4"/>
      <c r="B224" s="4"/>
      <c r="C224" s="4"/>
      <c r="D224" s="4"/>
      <c r="E224" s="4"/>
      <c r="F224" s="4"/>
      <c r="G224" s="4"/>
      <c r="H224" s="4"/>
      <c r="I224" s="4"/>
      <c r="J224" s="4"/>
      <c r="K224" s="4"/>
      <c r="L224" s="4"/>
      <c r="M224" s="4"/>
      <c r="N224" s="4"/>
      <c r="O224" s="4"/>
      <c r="P224" s="4"/>
      <c r="Q224" s="4"/>
      <c r="R224" s="4"/>
    </row>
    <row r="225" spans="1:18" hidden="1">
      <c r="A225" s="4"/>
      <c r="B225" s="4"/>
      <c r="C225" s="4"/>
      <c r="D225" s="4"/>
      <c r="E225" s="4"/>
      <c r="F225" s="4"/>
      <c r="G225" s="4"/>
      <c r="H225" s="4"/>
      <c r="I225" s="4"/>
      <c r="J225" s="4"/>
      <c r="K225" s="4"/>
      <c r="L225" s="4"/>
      <c r="M225" s="4"/>
      <c r="N225" s="4"/>
      <c r="O225" s="4"/>
      <c r="P225" s="4"/>
      <c r="Q225" s="4"/>
      <c r="R225" s="4"/>
    </row>
    <row r="226" spans="1:18" hidden="1">
      <c r="A226" s="4"/>
      <c r="B226" s="4"/>
      <c r="C226" s="4"/>
      <c r="D226" s="4"/>
      <c r="E226" s="4"/>
      <c r="F226" s="4"/>
      <c r="G226" s="4"/>
      <c r="H226" s="4"/>
      <c r="I226" s="4"/>
      <c r="J226" s="4"/>
      <c r="K226" s="4"/>
      <c r="L226" s="4"/>
      <c r="M226" s="4"/>
      <c r="N226" s="4"/>
      <c r="O226" s="4"/>
      <c r="P226" s="4"/>
      <c r="Q226" s="4"/>
      <c r="R226" s="4"/>
    </row>
    <row r="227" spans="1:18" hidden="1">
      <c r="A227" s="4"/>
      <c r="B227" s="4"/>
      <c r="C227" s="4"/>
      <c r="D227" s="4"/>
      <c r="E227" s="4"/>
      <c r="F227" s="4"/>
      <c r="G227" s="4"/>
      <c r="H227" s="4"/>
      <c r="I227" s="4"/>
      <c r="J227" s="4"/>
      <c r="K227" s="4"/>
      <c r="L227" s="4"/>
      <c r="M227" s="4"/>
      <c r="N227" s="4"/>
      <c r="O227" s="4"/>
      <c r="P227" s="4"/>
      <c r="Q227" s="4"/>
      <c r="R227" s="4"/>
    </row>
    <row r="228" spans="1:18" hidden="1">
      <c r="A228" s="4"/>
      <c r="B228" s="4"/>
      <c r="C228" s="4"/>
      <c r="D228" s="4"/>
      <c r="E228" s="4"/>
      <c r="F228" s="4"/>
      <c r="G228" s="4"/>
      <c r="H228" s="4"/>
      <c r="I228" s="4"/>
      <c r="J228" s="4"/>
      <c r="K228" s="4"/>
      <c r="L228" s="4"/>
      <c r="M228" s="4"/>
      <c r="N228" s="4"/>
      <c r="O228" s="4"/>
      <c r="P228" s="4"/>
      <c r="Q228" s="4"/>
      <c r="R228" s="4"/>
    </row>
    <row r="229" spans="1:18" hidden="1">
      <c r="A229" s="4"/>
      <c r="B229" s="4"/>
      <c r="C229" s="4"/>
      <c r="D229" s="4"/>
      <c r="E229" s="4"/>
      <c r="F229" s="4"/>
      <c r="G229" s="4"/>
      <c r="H229" s="4"/>
      <c r="I229" s="4"/>
      <c r="J229" s="4"/>
      <c r="K229" s="4"/>
      <c r="L229" s="4"/>
      <c r="M229" s="4"/>
      <c r="N229" s="4"/>
      <c r="O229" s="4"/>
      <c r="P229" s="4"/>
      <c r="Q229" s="4"/>
      <c r="R229" s="4"/>
    </row>
    <row r="230" spans="1:18" hidden="1">
      <c r="A230" s="4"/>
      <c r="B230" s="4"/>
      <c r="C230" s="4"/>
      <c r="D230" s="4"/>
      <c r="E230" s="4"/>
      <c r="F230" s="4"/>
      <c r="G230" s="4"/>
      <c r="H230" s="4"/>
      <c r="I230" s="4"/>
      <c r="J230" s="4"/>
      <c r="K230" s="4"/>
      <c r="L230" s="4"/>
      <c r="M230" s="4"/>
      <c r="N230" s="4"/>
      <c r="O230" s="4"/>
      <c r="P230" s="4"/>
      <c r="Q230" s="4"/>
      <c r="R230" s="4"/>
    </row>
    <row r="231" spans="1:18" hidden="1">
      <c r="A231" s="4"/>
      <c r="B231" s="4"/>
      <c r="C231" s="4"/>
      <c r="D231" s="4"/>
      <c r="E231" s="4"/>
      <c r="F231" s="4"/>
      <c r="G231" s="4"/>
      <c r="H231" s="4"/>
      <c r="I231" s="4"/>
      <c r="J231" s="4"/>
      <c r="K231" s="4"/>
      <c r="L231" s="4"/>
      <c r="M231" s="4"/>
      <c r="N231" s="4"/>
      <c r="O231" s="4"/>
      <c r="P231" s="4"/>
      <c r="Q231" s="4"/>
      <c r="R231" s="4"/>
    </row>
    <row r="232" spans="1:18" hidden="1">
      <c r="A232" s="4"/>
      <c r="B232" s="4"/>
      <c r="C232" s="4"/>
      <c r="D232" s="4"/>
      <c r="E232" s="4"/>
      <c r="F232" s="4"/>
      <c r="G232" s="4"/>
      <c r="H232" s="4"/>
      <c r="I232" s="4"/>
      <c r="J232" s="4"/>
      <c r="K232" s="4"/>
      <c r="L232" s="4"/>
      <c r="M232" s="4"/>
      <c r="N232" s="4"/>
      <c r="O232" s="4"/>
      <c r="P232" s="4"/>
      <c r="Q232" s="4"/>
      <c r="R232" s="4"/>
    </row>
    <row r="233" spans="1:18" hidden="1">
      <c r="A233" s="4"/>
      <c r="B233" s="4"/>
      <c r="C233" s="4"/>
      <c r="D233" s="4"/>
      <c r="E233" s="4"/>
      <c r="F233" s="4"/>
      <c r="G233" s="4"/>
      <c r="H233" s="4"/>
      <c r="I233" s="4"/>
      <c r="J233" s="4"/>
      <c r="K233" s="4"/>
      <c r="L233" s="4"/>
      <c r="M233" s="4"/>
      <c r="N233" s="4"/>
      <c r="O233" s="4"/>
      <c r="P233" s="4"/>
      <c r="Q233" s="4"/>
      <c r="R233" s="4"/>
    </row>
    <row r="234" spans="1:18" hidden="1">
      <c r="A234" s="4"/>
      <c r="B234" s="4"/>
      <c r="C234" s="4"/>
      <c r="D234" s="4"/>
      <c r="E234" s="4"/>
      <c r="F234" s="4"/>
      <c r="G234" s="4"/>
      <c r="H234" s="4"/>
      <c r="I234" s="4"/>
      <c r="J234" s="4"/>
      <c r="K234" s="4"/>
      <c r="L234" s="4"/>
      <c r="M234" s="4"/>
      <c r="N234" s="4"/>
      <c r="O234" s="4"/>
      <c r="P234" s="4"/>
      <c r="Q234" s="4"/>
      <c r="R234" s="4"/>
    </row>
    <row r="235" spans="1:18" hidden="1">
      <c r="A235" s="4"/>
      <c r="B235" s="4"/>
      <c r="C235" s="4"/>
      <c r="D235" s="4"/>
      <c r="E235" s="4"/>
      <c r="F235" s="4"/>
      <c r="G235" s="4"/>
      <c r="H235" s="4"/>
      <c r="I235" s="4"/>
      <c r="J235" s="4"/>
      <c r="K235" s="4"/>
      <c r="L235" s="4"/>
      <c r="M235" s="4"/>
      <c r="N235" s="4"/>
      <c r="O235" s="4"/>
      <c r="P235" s="4"/>
      <c r="Q235" s="4"/>
      <c r="R235" s="4"/>
    </row>
    <row r="236" spans="1:18" hidden="1">
      <c r="A236" s="4"/>
      <c r="B236" s="4"/>
      <c r="C236" s="4"/>
      <c r="D236" s="4"/>
      <c r="E236" s="4"/>
      <c r="F236" s="4"/>
      <c r="G236" s="4"/>
      <c r="H236" s="4"/>
      <c r="I236" s="4"/>
      <c r="J236" s="4"/>
      <c r="K236" s="4"/>
      <c r="L236" s="4"/>
      <c r="M236" s="4"/>
      <c r="N236" s="4"/>
      <c r="O236" s="4"/>
      <c r="P236" s="4"/>
      <c r="Q236" s="4"/>
      <c r="R236" s="4"/>
    </row>
    <row r="237" spans="1:18" hidden="1">
      <c r="A237" s="4"/>
      <c r="B237" s="4"/>
      <c r="C237" s="4"/>
      <c r="D237" s="4"/>
      <c r="E237" s="4"/>
      <c r="F237" s="4"/>
      <c r="G237" s="4"/>
      <c r="H237" s="4"/>
      <c r="I237" s="4"/>
      <c r="J237" s="4"/>
      <c r="K237" s="4"/>
      <c r="L237" s="4"/>
      <c r="M237" s="4"/>
      <c r="N237" s="4"/>
      <c r="O237" s="4"/>
      <c r="P237" s="4"/>
      <c r="Q237" s="4"/>
      <c r="R237" s="4"/>
    </row>
    <row r="238" spans="1:18" hidden="1">
      <c r="A238" s="4"/>
      <c r="B238" s="4"/>
      <c r="C238" s="4"/>
      <c r="D238" s="4"/>
      <c r="E238" s="4"/>
      <c r="F238" s="4"/>
      <c r="G238" s="4"/>
      <c r="H238" s="4"/>
      <c r="I238" s="4"/>
      <c r="J238" s="4"/>
      <c r="K238" s="4"/>
      <c r="L238" s="4"/>
      <c r="M238" s="4"/>
      <c r="N238" s="4"/>
      <c r="O238" s="4"/>
      <c r="P238" s="4"/>
      <c r="Q238" s="4"/>
      <c r="R238" s="4"/>
    </row>
    <row r="239" spans="1:18" hidden="1">
      <c r="A239" s="4"/>
      <c r="B239" s="4"/>
      <c r="C239" s="4"/>
      <c r="D239" s="4"/>
      <c r="E239" s="4"/>
      <c r="F239" s="4"/>
      <c r="G239" s="4"/>
      <c r="H239" s="4"/>
      <c r="I239" s="4"/>
      <c r="J239" s="4"/>
      <c r="K239" s="4"/>
      <c r="L239" s="4"/>
      <c r="M239" s="4"/>
      <c r="N239" s="4"/>
      <c r="O239" s="4"/>
      <c r="P239" s="4"/>
      <c r="Q239" s="4"/>
      <c r="R239" s="4"/>
    </row>
    <row r="240" spans="1:18" hidden="1">
      <c r="A240" s="4"/>
      <c r="B240" s="4"/>
      <c r="C240" s="4"/>
      <c r="D240" s="4"/>
      <c r="E240" s="4"/>
      <c r="F240" s="4"/>
      <c r="G240" s="4"/>
      <c r="H240" s="4"/>
      <c r="I240" s="4"/>
      <c r="J240" s="4"/>
      <c r="K240" s="4"/>
      <c r="L240" s="4"/>
      <c r="M240" s="4"/>
      <c r="N240" s="4"/>
      <c r="O240" s="4"/>
      <c r="P240" s="4"/>
      <c r="Q240" s="4"/>
      <c r="R240" s="4"/>
    </row>
    <row r="241" spans="1:18" hidden="1">
      <c r="A241" s="4"/>
      <c r="B241" s="4"/>
      <c r="C241" s="4"/>
      <c r="D241" s="4"/>
      <c r="E241" s="4"/>
      <c r="F241" s="4"/>
      <c r="G241" s="4"/>
      <c r="H241" s="4"/>
      <c r="I241" s="4"/>
      <c r="J241" s="4"/>
      <c r="K241" s="4"/>
      <c r="L241" s="4"/>
      <c r="M241" s="4"/>
      <c r="N241" s="4"/>
      <c r="O241" s="4"/>
      <c r="P241" s="4"/>
      <c r="Q241" s="4"/>
      <c r="R241" s="4"/>
    </row>
    <row r="242" spans="1:18" hidden="1">
      <c r="A242" s="4"/>
      <c r="B242" s="4"/>
      <c r="C242" s="4"/>
      <c r="D242" s="4"/>
      <c r="E242" s="4"/>
      <c r="F242" s="4"/>
      <c r="G242" s="4"/>
      <c r="H242" s="4"/>
      <c r="I242" s="4"/>
      <c r="J242" s="4"/>
      <c r="K242" s="4"/>
      <c r="L242" s="4"/>
      <c r="M242" s="4"/>
      <c r="N242" s="4"/>
      <c r="O242" s="4"/>
      <c r="P242" s="4"/>
      <c r="Q242" s="4"/>
      <c r="R242" s="4"/>
    </row>
    <row r="243" spans="1:18" hidden="1">
      <c r="A243" s="4"/>
      <c r="B243" s="4"/>
      <c r="C243" s="4"/>
      <c r="D243" s="4"/>
      <c r="E243" s="4"/>
      <c r="F243" s="4"/>
      <c r="G243" s="4"/>
      <c r="H243" s="4"/>
      <c r="I243" s="4"/>
      <c r="J243" s="4"/>
      <c r="K243" s="4"/>
      <c r="L243" s="4"/>
      <c r="M243" s="4"/>
      <c r="N243" s="4"/>
      <c r="O243" s="4"/>
      <c r="P243" s="4"/>
      <c r="Q243" s="4"/>
      <c r="R243" s="4"/>
    </row>
    <row r="244" spans="1:18" hidden="1">
      <c r="A244" s="4"/>
      <c r="B244" s="4"/>
      <c r="C244" s="4"/>
      <c r="D244" s="4"/>
      <c r="E244" s="4"/>
      <c r="F244" s="4"/>
      <c r="G244" s="4"/>
      <c r="H244" s="4"/>
      <c r="I244" s="4"/>
      <c r="J244" s="4"/>
      <c r="K244" s="4"/>
      <c r="L244" s="4"/>
      <c r="M244" s="4"/>
      <c r="N244" s="4"/>
      <c r="O244" s="4"/>
      <c r="P244" s="4"/>
      <c r="Q244" s="4"/>
      <c r="R244" s="4"/>
    </row>
    <row r="245" spans="1:18" hidden="1">
      <c r="A245" s="4"/>
      <c r="B245" s="4"/>
      <c r="C245" s="4"/>
      <c r="D245" s="4"/>
      <c r="E245" s="4"/>
      <c r="F245" s="4"/>
      <c r="G245" s="4"/>
      <c r="H245" s="4"/>
      <c r="I245" s="4"/>
      <c r="J245" s="4"/>
      <c r="K245" s="4"/>
      <c r="L245" s="4"/>
      <c r="M245" s="4"/>
      <c r="N245" s="4"/>
      <c r="O245" s="4"/>
      <c r="P245" s="4"/>
      <c r="Q245" s="4"/>
      <c r="R245" s="4"/>
    </row>
    <row r="246" spans="1:18" hidden="1">
      <c r="A246" s="4"/>
      <c r="B246" s="4"/>
      <c r="C246" s="4"/>
      <c r="D246" s="4"/>
      <c r="E246" s="4"/>
      <c r="F246" s="4"/>
      <c r="G246" s="4"/>
      <c r="H246" s="4"/>
      <c r="I246" s="4"/>
      <c r="J246" s="4"/>
      <c r="K246" s="4"/>
      <c r="L246" s="4"/>
      <c r="M246" s="4"/>
      <c r="N246" s="4"/>
      <c r="O246" s="4"/>
      <c r="P246" s="4"/>
      <c r="Q246" s="4"/>
      <c r="R246" s="4"/>
    </row>
    <row r="247" spans="1:18" hidden="1">
      <c r="A247" s="4"/>
      <c r="B247" s="4"/>
      <c r="C247" s="4"/>
      <c r="D247" s="4"/>
      <c r="E247" s="4"/>
      <c r="F247" s="4"/>
      <c r="G247" s="4"/>
      <c r="H247" s="4"/>
      <c r="I247" s="4"/>
      <c r="J247" s="4"/>
      <c r="K247" s="4"/>
      <c r="L247" s="4"/>
      <c r="M247" s="4"/>
      <c r="N247" s="4"/>
      <c r="O247" s="4"/>
      <c r="P247" s="4"/>
      <c r="Q247" s="4"/>
      <c r="R247" s="4"/>
    </row>
    <row r="248" spans="1:18" hidden="1">
      <c r="A248" s="4"/>
      <c r="B248" s="4"/>
      <c r="C248" s="4"/>
      <c r="D248" s="4"/>
      <c r="E248" s="4"/>
      <c r="F248" s="4"/>
      <c r="G248" s="4"/>
      <c r="H248" s="4"/>
      <c r="I248" s="4"/>
      <c r="J248" s="4"/>
      <c r="K248" s="4"/>
      <c r="L248" s="4"/>
      <c r="M248" s="4"/>
      <c r="N248" s="4"/>
      <c r="O248" s="4"/>
      <c r="P248" s="4"/>
      <c r="Q248" s="4"/>
      <c r="R248" s="4"/>
    </row>
    <row r="249" spans="1:18" hidden="1">
      <c r="A249" s="4"/>
      <c r="B249" s="4"/>
      <c r="C249" s="4"/>
      <c r="D249" s="4"/>
      <c r="E249" s="4"/>
      <c r="F249" s="4"/>
      <c r="G249" s="4"/>
      <c r="H249" s="4"/>
      <c r="I249" s="4"/>
      <c r="J249" s="4"/>
      <c r="K249" s="4"/>
      <c r="L249" s="4"/>
      <c r="M249" s="4"/>
      <c r="N249" s="4"/>
      <c r="O249" s="4"/>
      <c r="P249" s="4"/>
      <c r="Q249" s="4"/>
      <c r="R249" s="4"/>
    </row>
    <row r="250" spans="1:18" hidden="1">
      <c r="A250" s="4"/>
      <c r="B250" s="4"/>
      <c r="C250" s="4"/>
      <c r="D250" s="4"/>
      <c r="E250" s="4"/>
      <c r="F250" s="4"/>
      <c r="G250" s="4"/>
      <c r="H250" s="4"/>
      <c r="I250" s="4"/>
      <c r="J250" s="4"/>
      <c r="K250" s="4"/>
      <c r="L250" s="4"/>
      <c r="M250" s="4"/>
      <c r="N250" s="4"/>
      <c r="O250" s="4"/>
      <c r="P250" s="4"/>
      <c r="Q250" s="4"/>
      <c r="R250" s="4"/>
    </row>
    <row r="251" spans="1:18" hidden="1">
      <c r="A251" s="4"/>
      <c r="B251" s="4"/>
      <c r="C251" s="4"/>
      <c r="D251" s="4"/>
      <c r="E251" s="4"/>
      <c r="F251" s="4"/>
      <c r="G251" s="4"/>
      <c r="H251" s="4"/>
      <c r="I251" s="4"/>
      <c r="J251" s="4"/>
      <c r="K251" s="4"/>
      <c r="L251" s="4"/>
      <c r="M251" s="4"/>
      <c r="N251" s="4"/>
      <c r="O251" s="4"/>
      <c r="P251" s="4"/>
      <c r="Q251" s="4"/>
      <c r="R251" s="4"/>
    </row>
    <row r="252" spans="1:18" hidden="1">
      <c r="A252" s="4"/>
      <c r="B252" s="4"/>
      <c r="C252" s="4"/>
      <c r="D252" s="4"/>
      <c r="E252" s="4"/>
      <c r="F252" s="4"/>
      <c r="G252" s="4"/>
      <c r="H252" s="4"/>
      <c r="I252" s="4"/>
      <c r="J252" s="4"/>
      <c r="K252" s="4"/>
      <c r="L252" s="4"/>
      <c r="M252" s="4"/>
      <c r="N252" s="4"/>
      <c r="O252" s="4"/>
      <c r="P252" s="4"/>
      <c r="Q252" s="4"/>
      <c r="R252" s="4"/>
    </row>
    <row r="253" spans="1:18" hidden="1">
      <c r="A253" s="4"/>
      <c r="B253" s="4"/>
      <c r="C253" s="4"/>
      <c r="D253" s="4"/>
      <c r="E253" s="4"/>
      <c r="F253" s="4"/>
      <c r="G253" s="4"/>
      <c r="H253" s="4"/>
      <c r="I253" s="4"/>
      <c r="J253" s="4"/>
      <c r="K253" s="4"/>
      <c r="L253" s="4"/>
      <c r="M253" s="4"/>
      <c r="N253" s="4"/>
      <c r="O253" s="4"/>
      <c r="P253" s="4"/>
      <c r="Q253" s="4"/>
      <c r="R253" s="4"/>
    </row>
    <row r="254" spans="1:18" hidden="1">
      <c r="A254" s="4"/>
      <c r="B254" s="4"/>
      <c r="C254" s="4"/>
      <c r="D254" s="4"/>
      <c r="E254" s="4"/>
      <c r="F254" s="4"/>
      <c r="G254" s="4"/>
      <c r="H254" s="4"/>
      <c r="I254" s="4"/>
      <c r="J254" s="4"/>
      <c r="K254" s="4"/>
      <c r="L254" s="4"/>
      <c r="M254" s="4"/>
      <c r="N254" s="4"/>
      <c r="O254" s="4"/>
      <c r="P254" s="4"/>
      <c r="Q254" s="4"/>
      <c r="R254" s="4"/>
    </row>
    <row r="255" spans="1:18" hidden="1">
      <c r="A255" s="4"/>
      <c r="B255" s="4"/>
      <c r="C255" s="4"/>
      <c r="D255" s="4"/>
      <c r="E255" s="4"/>
      <c r="F255" s="4"/>
      <c r="G255" s="4"/>
      <c r="H255" s="4"/>
      <c r="I255" s="4"/>
      <c r="J255" s="4"/>
      <c r="K255" s="4"/>
      <c r="L255" s="4"/>
      <c r="M255" s="4"/>
      <c r="N255" s="4"/>
      <c r="O255" s="4"/>
      <c r="P255" s="4"/>
      <c r="Q255" s="4"/>
      <c r="R255" s="4"/>
    </row>
    <row r="256" spans="1:18" hidden="1">
      <c r="A256" s="4"/>
      <c r="B256" s="4"/>
      <c r="C256" s="4"/>
      <c r="D256" s="4"/>
      <c r="E256" s="4"/>
      <c r="F256" s="4"/>
      <c r="G256" s="4"/>
      <c r="H256" s="4"/>
      <c r="I256" s="4"/>
      <c r="J256" s="4"/>
      <c r="K256" s="4"/>
      <c r="L256" s="4"/>
      <c r="M256" s="4"/>
      <c r="N256" s="4"/>
      <c r="O256" s="4"/>
      <c r="P256" s="4"/>
      <c r="Q256" s="4"/>
      <c r="R256" s="4"/>
    </row>
    <row r="257" spans="1:18" hidden="1">
      <c r="A257" s="4"/>
      <c r="B257" s="4"/>
      <c r="C257" s="4"/>
      <c r="D257" s="4"/>
      <c r="E257" s="4"/>
      <c r="F257" s="4"/>
      <c r="G257" s="4"/>
      <c r="H257" s="4"/>
      <c r="I257" s="4"/>
      <c r="J257" s="4"/>
      <c r="K257" s="4"/>
      <c r="L257" s="4"/>
      <c r="M257" s="4"/>
      <c r="N257" s="4"/>
      <c r="O257" s="4"/>
      <c r="P257" s="4"/>
      <c r="Q257" s="4"/>
      <c r="R257" s="4"/>
    </row>
    <row r="258" spans="1:18" hidden="1">
      <c r="A258" s="4"/>
      <c r="B258" s="4"/>
      <c r="C258" s="4"/>
      <c r="D258" s="4"/>
      <c r="E258" s="4"/>
      <c r="F258" s="4"/>
      <c r="G258" s="4"/>
      <c r="H258" s="4"/>
      <c r="I258" s="4"/>
      <c r="J258" s="4"/>
      <c r="K258" s="4"/>
      <c r="L258" s="4"/>
      <c r="M258" s="4"/>
      <c r="N258" s="4"/>
      <c r="O258" s="4"/>
      <c r="P258" s="4"/>
      <c r="Q258" s="4"/>
      <c r="R258" s="4"/>
    </row>
    <row r="259" spans="1:18" hidden="1">
      <c r="A259" s="4"/>
      <c r="B259" s="4"/>
      <c r="C259" s="4"/>
      <c r="D259" s="4"/>
      <c r="E259" s="4"/>
      <c r="F259" s="4"/>
      <c r="G259" s="4"/>
      <c r="H259" s="4"/>
      <c r="I259" s="4"/>
      <c r="J259" s="4"/>
      <c r="K259" s="4"/>
      <c r="L259" s="4"/>
      <c r="M259" s="4"/>
      <c r="N259" s="4"/>
      <c r="O259" s="4"/>
      <c r="P259" s="4"/>
      <c r="Q259" s="4"/>
      <c r="R259" s="4"/>
    </row>
    <row r="260" spans="1:18" hidden="1">
      <c r="A260" s="4"/>
      <c r="B260" s="4"/>
      <c r="C260" s="4"/>
      <c r="D260" s="4"/>
      <c r="E260" s="4"/>
      <c r="F260" s="4"/>
      <c r="G260" s="4"/>
      <c r="H260" s="4"/>
      <c r="I260" s="4"/>
      <c r="J260" s="4"/>
      <c r="K260" s="4"/>
      <c r="L260" s="4"/>
      <c r="M260" s="4"/>
      <c r="N260" s="4"/>
      <c r="O260" s="4"/>
      <c r="P260" s="4"/>
      <c r="Q260" s="4"/>
      <c r="R260" s="4"/>
    </row>
    <row r="261" spans="1:18" hidden="1">
      <c r="A261" s="4"/>
      <c r="B261" s="4"/>
      <c r="C261" s="4"/>
      <c r="D261" s="4"/>
      <c r="E261" s="4"/>
      <c r="F261" s="4"/>
      <c r="G261" s="4"/>
      <c r="H261" s="4"/>
      <c r="I261" s="4"/>
      <c r="J261" s="4"/>
      <c r="K261" s="4"/>
      <c r="L261" s="4"/>
      <c r="M261" s="4"/>
      <c r="N261" s="4"/>
      <c r="O261" s="4"/>
      <c r="P261" s="4"/>
      <c r="Q261" s="4"/>
      <c r="R261" s="4"/>
    </row>
    <row r="262" spans="1:18" hidden="1">
      <c r="A262" s="4"/>
      <c r="B262" s="4"/>
      <c r="C262" s="4"/>
      <c r="D262" s="4"/>
      <c r="E262" s="4"/>
      <c r="F262" s="4"/>
      <c r="G262" s="4"/>
      <c r="H262" s="4"/>
      <c r="I262" s="4"/>
      <c r="J262" s="4"/>
      <c r="K262" s="4"/>
      <c r="L262" s="4"/>
      <c r="M262" s="4"/>
      <c r="N262" s="4"/>
      <c r="O262" s="4"/>
      <c r="P262" s="4"/>
      <c r="Q262" s="4"/>
      <c r="R262" s="4"/>
    </row>
    <row r="263" spans="1:18" hidden="1">
      <c r="A263" s="4"/>
      <c r="B263" s="4"/>
      <c r="C263" s="4"/>
      <c r="D263" s="4"/>
      <c r="E263" s="4"/>
      <c r="F263" s="4"/>
      <c r="G263" s="4"/>
      <c r="H263" s="4"/>
      <c r="I263" s="4"/>
      <c r="J263" s="4"/>
      <c r="K263" s="4"/>
      <c r="L263" s="4"/>
      <c r="M263" s="4"/>
      <c r="N263" s="4"/>
      <c r="O263" s="4"/>
      <c r="P263" s="4"/>
      <c r="Q263" s="4"/>
      <c r="R263" s="4"/>
    </row>
    <row r="264" spans="1:18" hidden="1">
      <c r="A264" s="4"/>
      <c r="B264" s="4"/>
      <c r="C264" s="4"/>
      <c r="D264" s="4"/>
      <c r="E264" s="4"/>
      <c r="F264" s="4"/>
      <c r="G264" s="4"/>
      <c r="H264" s="4"/>
      <c r="I264" s="4"/>
      <c r="J264" s="4"/>
      <c r="K264" s="4"/>
      <c r="L264" s="4"/>
      <c r="M264" s="4"/>
      <c r="N264" s="4"/>
      <c r="O264" s="4"/>
      <c r="P264" s="4"/>
      <c r="Q264" s="4"/>
      <c r="R264" s="4"/>
    </row>
    <row r="265" spans="1:18" hidden="1">
      <c r="A265" s="4"/>
      <c r="B265" s="4"/>
      <c r="C265" s="4"/>
      <c r="D265" s="4"/>
      <c r="E265" s="4"/>
      <c r="F265" s="4"/>
      <c r="G265" s="4"/>
      <c r="H265" s="4"/>
      <c r="I265" s="4"/>
      <c r="J265" s="4"/>
      <c r="K265" s="4"/>
      <c r="L265" s="4"/>
      <c r="M265" s="4"/>
      <c r="N265" s="4"/>
      <c r="O265" s="4"/>
      <c r="P265" s="4"/>
      <c r="Q265" s="4"/>
      <c r="R265" s="4"/>
    </row>
    <row r="266" spans="1:18" hidden="1">
      <c r="A266" s="4"/>
      <c r="B266" s="4"/>
      <c r="C266" s="4"/>
      <c r="D266" s="4"/>
      <c r="E266" s="4"/>
      <c r="F266" s="4"/>
      <c r="G266" s="4"/>
      <c r="H266" s="4"/>
      <c r="I266" s="4"/>
      <c r="J266" s="4"/>
      <c r="K266" s="4"/>
      <c r="L266" s="4"/>
      <c r="M266" s="4"/>
      <c r="N266" s="4"/>
      <c r="O266" s="4"/>
      <c r="P266" s="4"/>
      <c r="Q266" s="4"/>
      <c r="R266" s="4"/>
    </row>
    <row r="267" spans="1:18" hidden="1">
      <c r="A267" s="4"/>
      <c r="B267" s="4"/>
      <c r="C267" s="4"/>
      <c r="D267" s="4"/>
      <c r="E267" s="4"/>
      <c r="F267" s="4"/>
      <c r="G267" s="4"/>
      <c r="H267" s="4"/>
      <c r="I267" s="4"/>
      <c r="J267" s="4"/>
      <c r="K267" s="4"/>
      <c r="L267" s="4"/>
      <c r="M267" s="4"/>
      <c r="N267" s="4"/>
      <c r="O267" s="4"/>
      <c r="P267" s="4"/>
      <c r="Q267" s="4"/>
      <c r="R267" s="4"/>
    </row>
    <row r="268" spans="1:18" hidden="1">
      <c r="A268" s="4"/>
      <c r="B268" s="4"/>
      <c r="C268" s="4"/>
      <c r="D268" s="4"/>
      <c r="E268" s="4"/>
      <c r="F268" s="4"/>
      <c r="G268" s="4"/>
      <c r="H268" s="4"/>
      <c r="I268" s="4"/>
      <c r="J268" s="4"/>
      <c r="K268" s="4"/>
      <c r="L268" s="4"/>
      <c r="M268" s="4"/>
      <c r="N268" s="4"/>
      <c r="O268" s="4"/>
      <c r="P268" s="4"/>
      <c r="Q268" s="4"/>
      <c r="R268" s="4"/>
    </row>
    <row r="269" spans="1:18" hidden="1">
      <c r="A269" s="4"/>
      <c r="B269" s="4"/>
      <c r="C269" s="4"/>
      <c r="D269" s="4"/>
      <c r="E269" s="4"/>
      <c r="F269" s="4"/>
      <c r="G269" s="4"/>
      <c r="H269" s="4"/>
      <c r="I269" s="4"/>
      <c r="J269" s="4"/>
      <c r="K269" s="4"/>
      <c r="L269" s="4"/>
      <c r="M269" s="4"/>
      <c r="N269" s="4"/>
      <c r="O269" s="4"/>
      <c r="P269" s="4"/>
      <c r="Q269" s="4"/>
      <c r="R269" s="4"/>
    </row>
    <row r="270" spans="1:18" hidden="1">
      <c r="A270" s="4"/>
      <c r="B270" s="4"/>
      <c r="C270" s="4"/>
      <c r="D270" s="4"/>
      <c r="E270" s="4"/>
      <c r="F270" s="4"/>
      <c r="G270" s="4"/>
      <c r="H270" s="4"/>
      <c r="I270" s="4"/>
      <c r="J270" s="4"/>
      <c r="K270" s="4"/>
      <c r="L270" s="4"/>
      <c r="M270" s="4"/>
      <c r="N270" s="4"/>
      <c r="O270" s="4"/>
      <c r="P270" s="4"/>
      <c r="Q270" s="4"/>
      <c r="R270" s="4"/>
    </row>
    <row r="271" spans="1:18" hidden="1">
      <c r="A271" s="4"/>
      <c r="B271" s="4"/>
      <c r="C271" s="4"/>
      <c r="D271" s="4"/>
      <c r="E271" s="4"/>
      <c r="F271" s="4"/>
      <c r="G271" s="4"/>
      <c r="H271" s="4"/>
      <c r="I271" s="4"/>
      <c r="J271" s="4"/>
      <c r="K271" s="4"/>
      <c r="L271" s="4"/>
      <c r="M271" s="4"/>
      <c r="N271" s="4"/>
      <c r="O271" s="4"/>
      <c r="P271" s="4"/>
      <c r="Q271" s="4"/>
      <c r="R271" s="4"/>
    </row>
    <row r="272" spans="1:18" hidden="1">
      <c r="A272" s="4"/>
      <c r="B272" s="4"/>
      <c r="C272" s="4"/>
      <c r="D272" s="4"/>
      <c r="E272" s="4"/>
      <c r="F272" s="4"/>
      <c r="G272" s="4"/>
      <c r="H272" s="4"/>
      <c r="I272" s="4"/>
      <c r="J272" s="4"/>
      <c r="K272" s="4"/>
      <c r="L272" s="4"/>
      <c r="M272" s="4"/>
      <c r="N272" s="4"/>
      <c r="O272" s="4"/>
      <c r="P272" s="4"/>
      <c r="Q272" s="4"/>
      <c r="R272" s="4"/>
    </row>
    <row r="273" spans="1:18" hidden="1">
      <c r="A273" s="4"/>
      <c r="B273" s="4"/>
      <c r="C273" s="4"/>
      <c r="D273" s="4"/>
      <c r="E273" s="4"/>
      <c r="F273" s="4"/>
      <c r="G273" s="4"/>
      <c r="H273" s="4"/>
      <c r="I273" s="4"/>
      <c r="J273" s="4"/>
      <c r="K273" s="4"/>
      <c r="L273" s="4"/>
      <c r="M273" s="4"/>
      <c r="N273" s="4"/>
      <c r="O273" s="4"/>
      <c r="P273" s="4"/>
      <c r="Q273" s="4"/>
      <c r="R273" s="4"/>
    </row>
    <row r="274" spans="1:18" hidden="1">
      <c r="A274" s="4"/>
      <c r="B274" s="4"/>
      <c r="C274" s="4"/>
      <c r="D274" s="4"/>
      <c r="E274" s="4"/>
      <c r="F274" s="4"/>
      <c r="G274" s="4"/>
      <c r="H274" s="4"/>
      <c r="I274" s="4"/>
      <c r="J274" s="4"/>
      <c r="K274" s="4"/>
      <c r="L274" s="4"/>
      <c r="M274" s="4"/>
      <c r="N274" s="4"/>
      <c r="O274" s="4"/>
      <c r="P274" s="4"/>
      <c r="Q274" s="4"/>
      <c r="R274" s="4"/>
    </row>
    <row r="275" spans="1:18" hidden="1">
      <c r="A275" s="4"/>
      <c r="B275" s="4"/>
      <c r="C275" s="4"/>
      <c r="D275" s="4"/>
      <c r="E275" s="4"/>
      <c r="F275" s="4"/>
      <c r="G275" s="4"/>
      <c r="H275" s="4"/>
      <c r="I275" s="4"/>
      <c r="J275" s="4"/>
      <c r="K275" s="4"/>
      <c r="L275" s="4"/>
      <c r="M275" s="4"/>
      <c r="N275" s="4"/>
      <c r="O275" s="4"/>
      <c r="P275" s="4"/>
      <c r="Q275" s="4"/>
      <c r="R275" s="4"/>
    </row>
    <row r="276" spans="1:18" hidden="1"/>
    <row r="277" spans="1:18" hidden="1"/>
    <row r="278" spans="1:18" hidden="1"/>
    <row r="279" spans="1:18" hidden="1"/>
    <row r="280" spans="1:18" hidden="1"/>
    <row r="281" spans="1:18" hidden="1"/>
    <row r="282" spans="1:18" hidden="1"/>
    <row r="283" spans="1:18" hidden="1"/>
    <row r="284" spans="1:18" hidden="1"/>
    <row r="285" spans="1:18" hidden="1"/>
    <row r="286" spans="1:18" hidden="1"/>
    <row r="287" spans="1:18" hidden="1"/>
    <row r="288" spans="1:18" hidden="1"/>
    <row r="289" spans="1:18" hidden="1"/>
    <row r="290" spans="1:18" hidden="1"/>
    <row r="291" spans="1:18" hidden="1">
      <c r="A291" s="4"/>
      <c r="B291" s="4"/>
      <c r="C291" s="4"/>
      <c r="D291" s="4"/>
      <c r="E291" s="4"/>
      <c r="F291" s="4"/>
      <c r="G291" s="4"/>
      <c r="H291" s="4"/>
      <c r="I291" s="4"/>
      <c r="J291" s="4"/>
      <c r="K291" s="4"/>
      <c r="L291" s="4"/>
      <c r="M291" s="4"/>
      <c r="N291" s="4"/>
      <c r="O291" s="4"/>
      <c r="P291" s="4"/>
      <c r="Q291" s="4"/>
      <c r="R291" s="4"/>
    </row>
    <row r="292" spans="1:18" hidden="1">
      <c r="A292" s="4"/>
      <c r="B292" s="4"/>
      <c r="C292" s="4"/>
      <c r="D292" s="4"/>
      <c r="E292" s="4"/>
      <c r="F292" s="4"/>
      <c r="G292" s="4"/>
      <c r="H292" s="4"/>
      <c r="I292" s="4"/>
      <c r="J292" s="4"/>
      <c r="K292" s="4"/>
      <c r="L292" s="4"/>
      <c r="M292" s="4"/>
      <c r="N292" s="4"/>
      <c r="O292" s="4"/>
      <c r="P292" s="4"/>
      <c r="Q292" s="4"/>
      <c r="R292" s="4"/>
    </row>
    <row r="293" spans="1:18" hidden="1">
      <c r="A293" s="4"/>
      <c r="B293" s="4"/>
      <c r="C293" s="4"/>
      <c r="D293" s="4"/>
      <c r="E293" s="4"/>
      <c r="F293" s="4"/>
      <c r="G293" s="4"/>
      <c r="H293" s="4"/>
      <c r="I293" s="4"/>
      <c r="J293" s="4"/>
      <c r="K293" s="4"/>
      <c r="L293" s="4"/>
      <c r="M293" s="4"/>
      <c r="N293" s="4"/>
      <c r="O293" s="4"/>
      <c r="P293" s="4"/>
      <c r="Q293" s="4"/>
      <c r="R293" s="4"/>
    </row>
    <row r="294" spans="1:18" hidden="1">
      <c r="A294" s="4"/>
      <c r="B294" s="4"/>
      <c r="C294" s="4"/>
      <c r="D294" s="4"/>
      <c r="E294" s="4"/>
      <c r="F294" s="4"/>
      <c r="G294" s="4"/>
      <c r="H294" s="4"/>
      <c r="I294" s="4"/>
      <c r="J294" s="4"/>
      <c r="K294" s="4"/>
      <c r="L294" s="4"/>
      <c r="M294" s="4"/>
      <c r="N294" s="4"/>
      <c r="O294" s="4"/>
      <c r="P294" s="4"/>
      <c r="Q294" s="4"/>
      <c r="R294" s="4"/>
    </row>
    <row r="295" spans="1:18" hidden="1">
      <c r="A295" s="4"/>
      <c r="B295" s="4"/>
      <c r="C295" s="4"/>
      <c r="D295" s="4"/>
      <c r="E295" s="4"/>
      <c r="F295" s="4"/>
      <c r="G295" s="4"/>
      <c r="H295" s="4"/>
      <c r="I295" s="4"/>
      <c r="J295" s="4"/>
      <c r="K295" s="4"/>
      <c r="L295" s="4"/>
      <c r="M295" s="4"/>
      <c r="N295" s="4"/>
      <c r="O295" s="4"/>
      <c r="P295" s="4"/>
      <c r="Q295" s="4"/>
      <c r="R295" s="4"/>
    </row>
    <row r="296" spans="1:18" hidden="1">
      <c r="A296" s="4"/>
      <c r="B296" s="4"/>
      <c r="C296" s="4"/>
      <c r="D296" s="4"/>
      <c r="E296" s="4"/>
      <c r="F296" s="4"/>
      <c r="G296" s="4"/>
      <c r="H296" s="4"/>
      <c r="I296" s="4"/>
      <c r="J296" s="4"/>
      <c r="K296" s="4"/>
      <c r="L296" s="4"/>
      <c r="M296" s="4"/>
      <c r="N296" s="4"/>
      <c r="O296" s="4"/>
      <c r="P296" s="4"/>
      <c r="Q296" s="4"/>
      <c r="R296" s="4"/>
    </row>
    <row r="297" spans="1:18" hidden="1">
      <c r="A297" s="4"/>
      <c r="B297" s="4"/>
      <c r="C297" s="4"/>
      <c r="D297" s="4"/>
      <c r="E297" s="4"/>
      <c r="F297" s="4"/>
      <c r="G297" s="4"/>
      <c r="H297" s="4"/>
      <c r="I297" s="4"/>
      <c r="J297" s="4"/>
      <c r="K297" s="4"/>
      <c r="L297" s="4"/>
      <c r="M297" s="4"/>
      <c r="N297" s="4"/>
      <c r="O297" s="4"/>
      <c r="P297" s="4"/>
      <c r="Q297" s="4"/>
      <c r="R297" s="4"/>
    </row>
    <row r="298" spans="1:18" hidden="1">
      <c r="A298" s="4"/>
      <c r="B298" s="4"/>
      <c r="C298" s="4"/>
      <c r="D298" s="4"/>
      <c r="E298" s="4"/>
      <c r="F298" s="4"/>
      <c r="G298" s="4"/>
      <c r="H298" s="4"/>
      <c r="I298" s="4"/>
      <c r="J298" s="4"/>
      <c r="K298" s="4"/>
      <c r="L298" s="4"/>
      <c r="M298" s="4"/>
      <c r="N298" s="4"/>
      <c r="O298" s="4"/>
      <c r="P298" s="4"/>
      <c r="Q298" s="4"/>
      <c r="R298" s="4"/>
    </row>
    <row r="299" spans="1:18" hidden="1">
      <c r="A299" s="4"/>
      <c r="B299" s="4"/>
      <c r="C299" s="4"/>
      <c r="D299" s="4"/>
      <c r="E299" s="4"/>
      <c r="F299" s="4"/>
      <c r="G299" s="4"/>
      <c r="H299" s="4"/>
      <c r="I299" s="4"/>
      <c r="J299" s="4"/>
      <c r="K299" s="4"/>
      <c r="L299" s="4"/>
      <c r="M299" s="4"/>
      <c r="N299" s="4"/>
      <c r="O299" s="4"/>
      <c r="P299" s="4"/>
      <c r="Q299" s="4"/>
      <c r="R299" s="4"/>
    </row>
    <row r="300" spans="1:18" hidden="1">
      <c r="A300" s="4"/>
      <c r="B300" s="4"/>
      <c r="C300" s="4"/>
      <c r="D300" s="4"/>
      <c r="E300" s="4"/>
      <c r="F300" s="4"/>
      <c r="G300" s="4"/>
      <c r="H300" s="4"/>
      <c r="I300" s="4"/>
      <c r="J300" s="4"/>
      <c r="K300" s="4"/>
      <c r="L300" s="4"/>
      <c r="M300" s="4"/>
      <c r="N300" s="4"/>
      <c r="O300" s="4"/>
      <c r="P300" s="4"/>
      <c r="Q300" s="4"/>
      <c r="R300" s="4"/>
    </row>
    <row r="301" spans="1:18" hidden="1">
      <c r="A301" s="4"/>
      <c r="B301" s="4"/>
      <c r="C301" s="4"/>
      <c r="D301" s="4"/>
      <c r="E301" s="4"/>
      <c r="F301" s="4"/>
      <c r="G301" s="4"/>
      <c r="H301" s="4"/>
      <c r="I301" s="4"/>
      <c r="J301" s="4"/>
      <c r="K301" s="4"/>
      <c r="L301" s="4"/>
      <c r="M301" s="4"/>
      <c r="N301" s="4"/>
      <c r="O301" s="4"/>
      <c r="P301" s="4"/>
      <c r="Q301" s="4"/>
      <c r="R301" s="4"/>
    </row>
    <row r="302" spans="1:18" hidden="1">
      <c r="A302" s="4"/>
      <c r="B302" s="4"/>
      <c r="C302" s="4"/>
      <c r="D302" s="4"/>
      <c r="E302" s="4"/>
      <c r="F302" s="4"/>
      <c r="G302" s="4"/>
      <c r="H302" s="4"/>
      <c r="I302" s="4"/>
      <c r="J302" s="4"/>
      <c r="K302" s="4"/>
      <c r="L302" s="4"/>
      <c r="M302" s="4"/>
      <c r="N302" s="4"/>
      <c r="O302" s="4"/>
      <c r="P302" s="4"/>
      <c r="Q302" s="4"/>
      <c r="R302" s="4"/>
    </row>
    <row r="303" spans="1:18" hidden="1">
      <c r="A303" s="4"/>
      <c r="B303" s="4"/>
      <c r="C303" s="4"/>
      <c r="D303" s="4"/>
      <c r="E303" s="4"/>
      <c r="F303" s="4"/>
      <c r="G303" s="4"/>
      <c r="H303" s="4"/>
      <c r="I303" s="4"/>
      <c r="J303" s="4"/>
      <c r="K303" s="4"/>
      <c r="L303" s="4"/>
      <c r="M303" s="4"/>
      <c r="N303" s="4"/>
      <c r="O303" s="4"/>
      <c r="P303" s="4"/>
      <c r="Q303" s="4"/>
      <c r="R303" s="4"/>
    </row>
    <row r="304" spans="1:18" hidden="1">
      <c r="A304" s="4"/>
      <c r="B304" s="4"/>
      <c r="C304" s="4"/>
      <c r="D304" s="4"/>
      <c r="E304" s="4"/>
      <c r="F304" s="4"/>
      <c r="G304" s="4"/>
      <c r="H304" s="4"/>
      <c r="I304" s="4"/>
      <c r="J304" s="4"/>
      <c r="K304" s="4"/>
      <c r="L304" s="4"/>
      <c r="M304" s="4"/>
      <c r="N304" s="4"/>
      <c r="O304" s="4"/>
      <c r="P304" s="4"/>
      <c r="Q304" s="4"/>
      <c r="R304" s="4"/>
    </row>
    <row r="305" spans="1:18" hidden="1">
      <c r="A305" s="4"/>
      <c r="B305" s="4"/>
      <c r="C305" s="4"/>
      <c r="D305" s="4"/>
      <c r="E305" s="4"/>
      <c r="F305" s="4"/>
      <c r="G305" s="4"/>
      <c r="H305" s="4"/>
      <c r="I305" s="4"/>
      <c r="J305" s="4"/>
      <c r="K305" s="4"/>
      <c r="L305" s="4"/>
      <c r="M305" s="4"/>
      <c r="N305" s="4"/>
      <c r="O305" s="4"/>
      <c r="P305" s="4"/>
      <c r="Q305" s="4"/>
      <c r="R305" s="4"/>
    </row>
    <row r="306" spans="1:18" hidden="1">
      <c r="A306" s="4"/>
      <c r="B306" s="4"/>
      <c r="C306" s="4"/>
      <c r="D306" s="4"/>
      <c r="E306" s="4"/>
      <c r="F306" s="4"/>
      <c r="G306" s="4"/>
      <c r="H306" s="4"/>
      <c r="I306" s="4"/>
      <c r="J306" s="4"/>
      <c r="K306" s="4"/>
      <c r="L306" s="4"/>
      <c r="M306" s="4"/>
      <c r="N306" s="4"/>
      <c r="O306" s="4"/>
      <c r="P306" s="4"/>
      <c r="Q306" s="4"/>
      <c r="R306" s="4"/>
    </row>
    <row r="307" spans="1:18" hidden="1">
      <c r="A307" s="4"/>
      <c r="B307" s="4"/>
      <c r="C307" s="4"/>
      <c r="D307" s="4"/>
      <c r="E307" s="4"/>
      <c r="F307" s="4"/>
      <c r="G307" s="4"/>
      <c r="H307" s="4"/>
      <c r="I307" s="4"/>
      <c r="J307" s="4"/>
      <c r="K307" s="4"/>
      <c r="L307" s="4"/>
      <c r="M307" s="4"/>
      <c r="N307" s="4"/>
      <c r="O307" s="4"/>
      <c r="P307" s="4"/>
      <c r="Q307" s="4"/>
      <c r="R307" s="4"/>
    </row>
    <row r="308" spans="1:18" hidden="1">
      <c r="A308" s="4"/>
      <c r="B308" s="4"/>
      <c r="C308" s="4"/>
      <c r="D308" s="4"/>
      <c r="E308" s="4"/>
      <c r="F308" s="4"/>
      <c r="G308" s="4"/>
      <c r="H308" s="4"/>
      <c r="I308" s="4"/>
      <c r="J308" s="4"/>
      <c r="K308" s="4"/>
      <c r="L308" s="4"/>
      <c r="M308" s="4"/>
      <c r="N308" s="4"/>
      <c r="O308" s="4"/>
      <c r="P308" s="4"/>
      <c r="Q308" s="4"/>
      <c r="R308" s="4"/>
    </row>
    <row r="309" spans="1:18" hidden="1">
      <c r="A309" s="4"/>
      <c r="B309" s="4"/>
      <c r="C309" s="4"/>
      <c r="D309" s="4"/>
      <c r="E309" s="4"/>
      <c r="F309" s="4"/>
      <c r="G309" s="4"/>
      <c r="H309" s="4"/>
      <c r="I309" s="4"/>
      <c r="J309" s="4"/>
      <c r="K309" s="4"/>
      <c r="L309" s="4"/>
      <c r="M309" s="4"/>
      <c r="N309" s="4"/>
      <c r="O309" s="4"/>
      <c r="P309" s="4"/>
      <c r="Q309" s="4"/>
      <c r="R309" s="4"/>
    </row>
    <row r="310" spans="1:18" hidden="1">
      <c r="A310" s="4"/>
      <c r="B310" s="4"/>
      <c r="C310" s="4"/>
      <c r="D310" s="4"/>
      <c r="E310" s="4"/>
      <c r="F310" s="4"/>
      <c r="G310" s="4"/>
      <c r="H310" s="4"/>
      <c r="I310" s="4"/>
      <c r="J310" s="4"/>
      <c r="K310" s="4"/>
      <c r="L310" s="4"/>
      <c r="M310" s="4"/>
      <c r="N310" s="4"/>
      <c r="O310" s="4"/>
      <c r="P310" s="4"/>
      <c r="Q310" s="4"/>
      <c r="R310" s="4"/>
    </row>
    <row r="311" spans="1:18" hidden="1">
      <c r="A311" s="4"/>
      <c r="B311" s="4"/>
      <c r="C311" s="4"/>
      <c r="D311" s="4"/>
      <c r="E311" s="4"/>
      <c r="F311" s="4"/>
      <c r="G311" s="4"/>
      <c r="H311" s="4"/>
      <c r="I311" s="4"/>
      <c r="J311" s="4"/>
      <c r="K311" s="4"/>
      <c r="L311" s="4"/>
      <c r="M311" s="4"/>
      <c r="N311" s="4"/>
      <c r="O311" s="4"/>
      <c r="P311" s="4"/>
      <c r="Q311" s="4"/>
      <c r="R311" s="4"/>
    </row>
    <row r="312" spans="1:18" hidden="1">
      <c r="A312" s="4"/>
      <c r="B312" s="4"/>
      <c r="C312" s="4"/>
      <c r="D312" s="4"/>
      <c r="E312" s="4"/>
      <c r="F312" s="4"/>
      <c r="G312" s="4"/>
      <c r="H312" s="4"/>
      <c r="I312" s="4"/>
      <c r="J312" s="4"/>
      <c r="K312" s="4"/>
      <c r="L312" s="4"/>
      <c r="M312" s="4"/>
      <c r="N312" s="4"/>
      <c r="O312" s="4"/>
      <c r="P312" s="4"/>
      <c r="Q312" s="4"/>
      <c r="R312" s="4"/>
    </row>
    <row r="313" spans="1:18" hidden="1">
      <c r="A313" s="4"/>
      <c r="B313" s="4"/>
      <c r="C313" s="4"/>
      <c r="D313" s="4"/>
      <c r="E313" s="4"/>
      <c r="F313" s="4"/>
      <c r="G313" s="4"/>
      <c r="H313" s="4"/>
      <c r="I313" s="4"/>
      <c r="J313" s="4"/>
      <c r="K313" s="4"/>
      <c r="L313" s="4"/>
      <c r="M313" s="4"/>
      <c r="N313" s="4"/>
      <c r="O313" s="4"/>
      <c r="P313" s="4"/>
      <c r="Q313" s="4"/>
      <c r="R313" s="4"/>
    </row>
    <row r="314" spans="1:18" hidden="1">
      <c r="A314" s="4"/>
      <c r="B314" s="4"/>
      <c r="C314" s="4"/>
      <c r="D314" s="4"/>
      <c r="E314" s="4"/>
      <c r="F314" s="4"/>
      <c r="G314" s="4"/>
      <c r="H314" s="4"/>
      <c r="I314" s="4"/>
      <c r="J314" s="4"/>
      <c r="K314" s="4"/>
      <c r="L314" s="4"/>
      <c r="M314" s="4"/>
      <c r="N314" s="4"/>
      <c r="O314" s="4"/>
      <c r="P314" s="4"/>
      <c r="Q314" s="4"/>
      <c r="R314" s="4"/>
    </row>
    <row r="315" spans="1:18" hidden="1">
      <c r="A315" s="4"/>
      <c r="B315" s="4"/>
      <c r="C315" s="4"/>
      <c r="D315" s="4"/>
      <c r="E315" s="4"/>
      <c r="F315" s="4"/>
      <c r="G315" s="4"/>
      <c r="H315" s="4"/>
      <c r="I315" s="4"/>
      <c r="J315" s="4"/>
      <c r="K315" s="4"/>
      <c r="L315" s="4"/>
      <c r="M315" s="4"/>
      <c r="N315" s="4"/>
      <c r="O315" s="4"/>
      <c r="P315" s="4"/>
      <c r="Q315" s="4"/>
      <c r="R315" s="4"/>
    </row>
    <row r="316" spans="1:18" hidden="1">
      <c r="A316" s="4"/>
      <c r="B316" s="4"/>
      <c r="C316" s="4"/>
      <c r="D316" s="4"/>
      <c r="E316" s="4"/>
      <c r="F316" s="4"/>
      <c r="G316" s="4"/>
      <c r="H316" s="4"/>
      <c r="I316" s="4"/>
      <c r="J316" s="4"/>
      <c r="K316" s="4"/>
      <c r="L316" s="4"/>
      <c r="M316" s="4"/>
      <c r="N316" s="4"/>
      <c r="O316" s="4"/>
      <c r="P316" s="4"/>
      <c r="Q316" s="4"/>
      <c r="R316" s="4"/>
    </row>
    <row r="317" spans="1:18" hidden="1"/>
    <row r="318" spans="1:18" hidden="1"/>
    <row r="319" spans="1:18" hidden="1"/>
    <row r="320" spans="1:18"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t="7.2" hidden="1" customHeight="1"/>
    <row r="409" ht="13.05" hidden="1" customHeight="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sheetData>
  <conditionalFormatting sqref="K171 K111 K52 K7 K5">
    <cfRule type="cellIs" dxfId="71" priority="88" stopIfTrue="1" operator="equal">
      <formula>#REF!</formula>
    </cfRule>
  </conditionalFormatting>
  <conditionalFormatting sqref="K172 E103:J103 F99 K96:O96 K74:O74 K63:O63 K98:O98 K56:P57 K70:P70 L76:P78 F89:J93 F92:P93 K65:K68 F67:J67 F87:P88 F83:O83 G84:K84 F86:O86 F85:K85 K60:P61 K58 F76:J78 F77:R78">
    <cfRule type="cellIs" dxfId="70" priority="87" stopIfTrue="1" operator="equal">
      <formula>#REF!</formula>
    </cfRule>
  </conditionalFormatting>
  <conditionalFormatting sqref="T2:U2">
    <cfRule type="cellIs" dxfId="69" priority="86" operator="equal">
      <formula>"Check"</formula>
    </cfRule>
  </conditionalFormatting>
  <conditionalFormatting sqref="P96 K103:P103 P74 G68:J68 P63 P98 P56:P57 P70 P92:P93 P83 P86:P88 P60:P61">
    <cfRule type="cellIs" dxfId="68" priority="85" stopIfTrue="1" operator="equal">
      <formula>#REF!</formula>
    </cfRule>
  </conditionalFormatting>
  <conditionalFormatting sqref="K92:P94">
    <cfRule type="cellIs" dxfId="67" priority="84" stopIfTrue="1" operator="equal">
      <formula>#REF!</formula>
    </cfRule>
  </conditionalFormatting>
  <conditionalFormatting sqref="L70:P70">
    <cfRule type="cellIs" dxfId="66" priority="83" stopIfTrue="1" operator="equal">
      <formula>#REF!</formula>
    </cfRule>
  </conditionalFormatting>
  <conditionalFormatting sqref="L68:P68 Q94:R94 L57:P57 Q56:R57 Q70:R70 F92:J94 Q83:R83 G84:K84 F86:R93 F85:K85 L60:R61">
    <cfRule type="cellIs" dxfId="65" priority="82" stopIfTrue="1" operator="equal">
      <formula>#REF!</formula>
    </cfRule>
  </conditionalFormatting>
  <conditionalFormatting sqref="L69:P70">
    <cfRule type="cellIs" dxfId="64" priority="80" stopIfTrue="1" operator="equal">
      <formula>#REF!</formula>
    </cfRule>
  </conditionalFormatting>
  <conditionalFormatting sqref="K69:K70">
    <cfRule type="cellIs" dxfId="63" priority="81" stopIfTrue="1" operator="equal">
      <formula>#REF!</formula>
    </cfRule>
  </conditionalFormatting>
  <conditionalFormatting sqref="F81:O81">
    <cfRule type="cellIs" dxfId="62" priority="68" stopIfTrue="1" operator="equal">
      <formula>#REF!</formula>
    </cfRule>
  </conditionalFormatting>
  <conditionalFormatting sqref="L70:P70">
    <cfRule type="cellIs" dxfId="61" priority="76" stopIfTrue="1" operator="equal">
      <formula>#REF!</formula>
    </cfRule>
  </conditionalFormatting>
  <conditionalFormatting sqref="P81">
    <cfRule type="cellIs" dxfId="60" priority="67" stopIfTrue="1" operator="equal">
      <formula>#REF!</formula>
    </cfRule>
  </conditionalFormatting>
  <conditionalFormatting sqref="K70">
    <cfRule type="cellIs" dxfId="59" priority="62" stopIfTrue="1" operator="equal">
      <formula>#REF!</formula>
    </cfRule>
  </conditionalFormatting>
  <conditionalFormatting sqref="Q96 Q74 Q76:R78 Q63 Q98">
    <cfRule type="cellIs" dxfId="58" priority="60" stopIfTrue="1" operator="equal">
      <formula>#REF!</formula>
    </cfRule>
  </conditionalFormatting>
  <conditionalFormatting sqref="R96 Q103:R103 R74 R63 R98">
    <cfRule type="cellIs" dxfId="57" priority="59" stopIfTrue="1" operator="equal">
      <formula>#REF!</formula>
    </cfRule>
  </conditionalFormatting>
  <conditionalFormatting sqref="Q68:R68">
    <cfRule type="cellIs" dxfId="56" priority="56" stopIfTrue="1" operator="equal">
      <formula>#REF!</formula>
    </cfRule>
  </conditionalFormatting>
  <conditionalFormatting sqref="Q69:R70">
    <cfRule type="cellIs" dxfId="55" priority="55" stopIfTrue="1" operator="equal">
      <formula>#REF!</formula>
    </cfRule>
  </conditionalFormatting>
  <conditionalFormatting sqref="R81">
    <cfRule type="cellIs" dxfId="54" priority="45" stopIfTrue="1" operator="equal">
      <formula>#REF!</formula>
    </cfRule>
  </conditionalFormatting>
  <conditionalFormatting sqref="Q70:R70">
    <cfRule type="cellIs" dxfId="53" priority="52" stopIfTrue="1" operator="equal">
      <formula>#REF!</formula>
    </cfRule>
  </conditionalFormatting>
  <conditionalFormatting sqref="Q81">
    <cfRule type="cellIs" dxfId="52" priority="46" stopIfTrue="1" operator="equal">
      <formula>#REF!</formula>
    </cfRule>
  </conditionalFormatting>
  <conditionalFormatting sqref="K97">
    <cfRule type="cellIs" dxfId="51" priority="41" stopIfTrue="1" operator="equal">
      <formula>#REF!</formula>
    </cfRule>
  </conditionalFormatting>
  <conditionalFormatting sqref="L97:R97">
    <cfRule type="cellIs" dxfId="50" priority="40" stopIfTrue="1" operator="equal">
      <formula>#REF!</formula>
    </cfRule>
  </conditionalFormatting>
  <conditionalFormatting sqref="K64">
    <cfRule type="cellIs" dxfId="49" priority="39" stopIfTrue="1" operator="equal">
      <formula>#REF!</formula>
    </cfRule>
  </conditionalFormatting>
  <conditionalFormatting sqref="F97:J97">
    <cfRule type="cellIs" dxfId="48" priority="29" stopIfTrue="1" operator="equal">
      <formula>#REF!</formula>
    </cfRule>
  </conditionalFormatting>
  <conditionalFormatting sqref="F97:J97">
    <cfRule type="cellIs" dxfId="47" priority="28" stopIfTrue="1" operator="equal">
      <formula>#REF!</formula>
    </cfRule>
  </conditionalFormatting>
  <conditionalFormatting sqref="L64:R64">
    <cfRule type="cellIs" dxfId="46" priority="15" stopIfTrue="1" operator="equal">
      <formula>#REF!</formula>
    </cfRule>
  </conditionalFormatting>
  <conditionalFormatting sqref="L67:R67">
    <cfRule type="cellIs" dxfId="45" priority="16" stopIfTrue="1" operator="equal">
      <formula>#REF!</formula>
    </cfRule>
  </conditionalFormatting>
  <conditionalFormatting sqref="K67">
    <cfRule type="cellIs" dxfId="44" priority="21" stopIfTrue="1" operator="equal">
      <formula>#REF!</formula>
    </cfRule>
  </conditionalFormatting>
  <conditionalFormatting sqref="L65:R67">
    <cfRule type="cellIs" dxfId="43" priority="17" stopIfTrue="1" operator="equal">
      <formula>#REF!</formula>
    </cfRule>
  </conditionalFormatting>
  <conditionalFormatting sqref="K89:R90">
    <cfRule type="cellIs" dxfId="42" priority="12" stopIfTrue="1" operator="equal">
      <formula>#REF!</formula>
    </cfRule>
  </conditionalFormatting>
  <conditionalFormatting sqref="K86:R86">
    <cfRule type="cellIs" dxfId="41" priority="11" stopIfTrue="1" operator="equal">
      <formula>#REF!</formula>
    </cfRule>
  </conditionalFormatting>
  <conditionalFormatting sqref="K87:R87">
    <cfRule type="cellIs" dxfId="40" priority="10" stopIfTrue="1" operator="equal">
      <formula>#REF!</formula>
    </cfRule>
  </conditionalFormatting>
  <conditionalFormatting sqref="F84">
    <cfRule type="cellIs" dxfId="39" priority="9" stopIfTrue="1" operator="equal">
      <formula>#REF!</formula>
    </cfRule>
  </conditionalFormatting>
  <conditionalFormatting sqref="F84">
    <cfRule type="cellIs" dxfId="38" priority="8" stopIfTrue="1" operator="equal">
      <formula>#REF!</formula>
    </cfRule>
  </conditionalFormatting>
  <conditionalFormatting sqref="L84:R85">
    <cfRule type="cellIs" dxfId="37" priority="7" stopIfTrue="1" operator="equal">
      <formula>#REF!</formula>
    </cfRule>
  </conditionalFormatting>
  <conditionalFormatting sqref="L84:R85">
    <cfRule type="cellIs" dxfId="36" priority="6" stopIfTrue="1" operator="equal">
      <formula>#REF!</formula>
    </cfRule>
  </conditionalFormatting>
  <conditionalFormatting sqref="L58:R58">
    <cfRule type="cellIs" dxfId="35" priority="5" stopIfTrue="1" operator="equal">
      <formula>#REF!</formula>
    </cfRule>
  </conditionalFormatting>
  <conditionalFormatting sqref="K59:R59">
    <cfRule type="cellIs" dxfId="34" priority="4" stopIfTrue="1" operator="equal">
      <formula>#REF!</formula>
    </cfRule>
  </conditionalFormatting>
  <conditionalFormatting sqref="E149:J149">
    <cfRule type="cellIs" dxfId="33" priority="3" stopIfTrue="1" operator="equal">
      <formula>#REF!</formula>
    </cfRule>
  </conditionalFormatting>
  <conditionalFormatting sqref="K149:P149">
    <cfRule type="cellIs" dxfId="32" priority="2" stopIfTrue="1" operator="equal">
      <formula>#REF!</formula>
    </cfRule>
  </conditionalFormatting>
  <conditionalFormatting sqref="Q149:R149">
    <cfRule type="cellIs" dxfId="31" priority="1" stopIfTrue="1" operator="equal">
      <formula>#REF!</formula>
    </cfRule>
  </conditionalFormatting>
  <pageMargins left="0.74803149606299213" right="0.74803149606299213" top="0.98425196850393704" bottom="0.98425196850393704" header="0.51181102362204722" footer="0.51181102362204722"/>
  <pageSetup orientation="portrait" r:id="rId1"/>
  <headerFooter alignWithMargins="0">
    <oddFooter>&amp;LIB-Competition Preliminary Case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FBD2B-EC18-481C-8A6B-53DC8BB67166}">
  <sheetPr codeName="Sheet12">
    <tabColor rgb="FF86654A"/>
  </sheetPr>
  <dimension ref="A1:IX509"/>
  <sheetViews>
    <sheetView showGridLines="0" zoomScaleNormal="100" zoomScaleSheetLayoutView="55" workbookViewId="0">
      <pane xSplit="4" ySplit="7" topLeftCell="E35" activePane="bottomRight" state="frozen"/>
      <selection activeCell="F21" sqref="F21"/>
      <selection pane="topRight" activeCell="F21" sqref="F21"/>
      <selection pane="bottomLeft" activeCell="F21" sqref="F21"/>
      <selection pane="bottomRight" activeCell="K36" sqref="K36"/>
    </sheetView>
  </sheetViews>
  <sheetFormatPr defaultColWidth="0" defaultRowHeight="13.2" zeroHeight="1"/>
  <cols>
    <col min="1" max="1" width="2.6640625" style="24" customWidth="1"/>
    <col min="2" max="2" width="36.44140625" style="24" customWidth="1"/>
    <col min="3" max="3" width="4.77734375" style="24" customWidth="1"/>
    <col min="4" max="4" width="8.6640625" style="24" customWidth="1"/>
    <col min="5" max="6" width="6.77734375" style="24" customWidth="1"/>
    <col min="7" max="18" width="7" style="24" customWidth="1"/>
    <col min="19" max="19" width="3.44140625" style="2" customWidth="1"/>
    <col min="20" max="21" width="4.6640625" style="2" customWidth="1"/>
    <col min="22" max="22" width="3.44140625" style="2" customWidth="1"/>
    <col min="23" max="98" width="5.6640625" style="2" hidden="1" customWidth="1"/>
    <col min="99" max="257" width="5.6640625" style="24" hidden="1" customWidth="1"/>
    <col min="258" max="258" width="0" style="24" hidden="1" customWidth="1"/>
    <col min="259" max="16384" width="9.109375" style="24" hidden="1"/>
  </cols>
  <sheetData>
    <row r="1" spans="1:257" s="45" customFormat="1">
      <c r="A1" s="49" t="str">
        <f>'DCF - Assumptions'!$E$8&amp;" | Discounted Cash Flows - Capital Structure"</f>
        <v>Tapestry | Discounted Cash Flows - Capital Structure</v>
      </c>
      <c r="B1" s="48"/>
      <c r="C1" s="47"/>
      <c r="D1" s="47"/>
      <c r="E1" s="47"/>
      <c r="F1" s="47"/>
      <c r="G1" s="47"/>
      <c r="H1" s="47"/>
      <c r="I1" s="47"/>
      <c r="J1" s="47"/>
      <c r="K1" s="47"/>
      <c r="L1" s="47"/>
      <c r="M1" s="47"/>
      <c r="N1" s="47"/>
      <c r="O1" s="47"/>
      <c r="P1" s="47"/>
      <c r="Q1" s="47"/>
      <c r="R1" s="47"/>
      <c r="T1" s="46" t="str">
        <f>IF(T5=U5,"OK","Check")</f>
        <v>OK</v>
      </c>
      <c r="U1" s="46" t="str">
        <f>IF(T6=U6,"OK","Check")</f>
        <v>OK</v>
      </c>
    </row>
    <row r="2" spans="1:257" ht="1.95" customHeight="1">
      <c r="A2" s="44"/>
      <c r="B2" s="43"/>
      <c r="C2" s="43"/>
      <c r="D2" s="43"/>
      <c r="E2" s="43"/>
      <c r="F2" s="43"/>
      <c r="G2" s="43"/>
      <c r="H2" s="43"/>
      <c r="I2" s="43"/>
      <c r="J2" s="43"/>
      <c r="K2" s="43"/>
      <c r="L2" s="43"/>
      <c r="M2" s="43"/>
      <c r="N2" s="43"/>
      <c r="O2" s="43"/>
      <c r="P2" s="43"/>
      <c r="Q2" s="43"/>
      <c r="R2" s="43"/>
      <c r="S2" s="42"/>
      <c r="T2" s="41"/>
      <c r="U2" s="41"/>
      <c r="V2" s="41"/>
    </row>
    <row r="3" spans="1:257" s="176" customFormat="1" ht="3" customHeight="1">
      <c r="A3" s="40"/>
      <c r="B3" s="39"/>
      <c r="C3" s="39"/>
      <c r="D3" s="39"/>
      <c r="E3" s="39"/>
      <c r="F3" s="39"/>
      <c r="G3" s="39"/>
      <c r="H3" s="39"/>
      <c r="I3" s="39"/>
      <c r="J3" s="39"/>
      <c r="K3" s="39"/>
      <c r="L3" s="39"/>
      <c r="M3" s="39"/>
      <c r="N3" s="39"/>
      <c r="O3" s="39"/>
      <c r="P3" s="39"/>
      <c r="Q3" s="39"/>
      <c r="R3" s="39"/>
      <c r="S3" s="38"/>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row>
    <row r="4" spans="1:257" ht="10.95" customHeight="1">
      <c r="A4" s="242"/>
      <c r="B4" s="4"/>
      <c r="C4" s="4"/>
      <c r="D4" s="4"/>
      <c r="E4" s="4"/>
      <c r="F4" s="4"/>
      <c r="G4" s="4"/>
      <c r="H4" s="4"/>
      <c r="I4" s="4"/>
      <c r="J4" s="4"/>
      <c r="K4" s="4"/>
      <c r="L4" s="4"/>
      <c r="M4" s="4"/>
      <c r="N4" s="4"/>
      <c r="O4" s="4"/>
      <c r="P4" s="4"/>
      <c r="Q4" s="4"/>
      <c r="R4" s="4"/>
      <c r="S4" s="278"/>
    </row>
    <row r="5" spans="1:257">
      <c r="A5" s="4"/>
      <c r="B5" s="730" t="s">
        <v>257</v>
      </c>
      <c r="C5" s="731"/>
      <c r="D5" s="731"/>
      <c r="E5" s="731"/>
      <c r="F5" s="732"/>
      <c r="G5" s="732"/>
      <c r="H5" s="732"/>
      <c r="I5" s="732"/>
      <c r="J5" s="732"/>
      <c r="K5" s="732"/>
      <c r="L5" s="732"/>
      <c r="M5" s="732"/>
      <c r="N5" s="732"/>
      <c r="O5" s="732"/>
      <c r="P5" s="732"/>
      <c r="Q5" s="732"/>
      <c r="R5" s="732"/>
      <c r="T5" s="188">
        <f>ROWS(B5:B116)</f>
        <v>112</v>
      </c>
      <c r="U5" s="35">
        <v>112</v>
      </c>
    </row>
    <row r="6" spans="1:257" s="2" customFormat="1" ht="13.05" customHeight="1">
      <c r="A6" s="24"/>
      <c r="B6" s="24"/>
      <c r="C6" s="24"/>
      <c r="D6" s="24"/>
      <c r="E6" s="24"/>
      <c r="F6" s="277"/>
      <c r="G6" s="277"/>
      <c r="H6" s="277"/>
      <c r="I6" s="277"/>
      <c r="J6" s="277"/>
      <c r="K6" s="276" t="s">
        <v>174</v>
      </c>
      <c r="L6" s="275"/>
      <c r="M6" s="275"/>
      <c r="N6" s="275"/>
      <c r="O6" s="275"/>
      <c r="P6" s="275"/>
      <c r="Q6" s="275"/>
      <c r="R6" s="275"/>
      <c r="T6" s="188">
        <f>SUM(T8:T116)</f>
        <v>89</v>
      </c>
      <c r="U6" s="35">
        <v>89</v>
      </c>
    </row>
    <row r="7" spans="1:257" s="2" customFormat="1" ht="13.05" customHeight="1" thickBot="1">
      <c r="A7" s="4"/>
      <c r="B7" s="299"/>
      <c r="C7" s="274" t="str">
        <f>'DCF - Assumptions'!C7</f>
        <v>Unit</v>
      </c>
      <c r="D7" s="274" t="str">
        <f>'DCF - Assumptions'!D7</f>
        <v>Type</v>
      </c>
      <c r="E7" s="94"/>
      <c r="F7" s="274">
        <f>'DCF - Financials'!F8</f>
        <v>2014</v>
      </c>
      <c r="G7" s="274">
        <f>'DCF - Financials'!G8</f>
        <v>2015</v>
      </c>
      <c r="H7" s="274">
        <f>'DCF - Financials'!H8</f>
        <v>2016</v>
      </c>
      <c r="I7" s="274">
        <f>'DCF - Financials'!I8</f>
        <v>2017</v>
      </c>
      <c r="J7" s="274">
        <f>'DCF - Financials'!J8</f>
        <v>2018</v>
      </c>
      <c r="K7" s="274">
        <f>'DCF - Financials'!K8</f>
        <v>2019</v>
      </c>
      <c r="L7" s="274">
        <f>'DCF - Financials'!L8</f>
        <v>2020</v>
      </c>
      <c r="M7" s="274">
        <f>'DCF - Financials'!M8</f>
        <v>2021</v>
      </c>
      <c r="N7" s="274">
        <f>'DCF - Financials'!N8</f>
        <v>2022</v>
      </c>
      <c r="O7" s="274">
        <f>'DCF - Financials'!O8</f>
        <v>2023</v>
      </c>
      <c r="P7" s="274">
        <f>'DCF - Financials'!P8</f>
        <v>2024</v>
      </c>
      <c r="Q7" s="274">
        <f>'DCF - Financials'!Q8</f>
        <v>2025</v>
      </c>
      <c r="R7" s="274">
        <f>'DCF - Financials'!R8</f>
        <v>2026</v>
      </c>
      <c r="S7" s="52"/>
      <c r="T7" s="179"/>
      <c r="U7" s="455"/>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52"/>
      <c r="FE7" s="52"/>
      <c r="FF7" s="52"/>
      <c r="FG7" s="52"/>
      <c r="FH7" s="52"/>
      <c r="FI7" s="52"/>
      <c r="FJ7" s="52"/>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c r="GN7" s="52"/>
      <c r="GO7" s="52"/>
      <c r="GP7" s="52"/>
      <c r="GQ7" s="52"/>
      <c r="GR7" s="52"/>
      <c r="GS7" s="52"/>
      <c r="GT7" s="52"/>
      <c r="GU7" s="52"/>
      <c r="GV7" s="52"/>
      <c r="GW7" s="52"/>
      <c r="GX7" s="52"/>
      <c r="GY7" s="52"/>
      <c r="GZ7" s="52"/>
      <c r="HA7" s="52"/>
      <c r="HB7" s="52"/>
      <c r="HC7" s="52"/>
      <c r="HD7" s="52"/>
      <c r="HE7" s="52"/>
      <c r="HF7" s="52"/>
      <c r="HG7" s="52"/>
      <c r="HH7" s="52"/>
      <c r="HI7" s="52"/>
      <c r="HJ7" s="52"/>
      <c r="HK7" s="52"/>
      <c r="HL7" s="52"/>
      <c r="HM7" s="52"/>
      <c r="HN7" s="52"/>
      <c r="HO7" s="52"/>
      <c r="HP7" s="52"/>
      <c r="HQ7" s="52"/>
      <c r="HR7" s="52"/>
      <c r="HS7" s="52"/>
      <c r="HT7" s="52"/>
      <c r="HU7" s="52"/>
      <c r="HV7" s="52"/>
      <c r="HW7" s="52"/>
      <c r="HX7" s="52"/>
      <c r="HY7" s="52"/>
      <c r="HZ7" s="52"/>
      <c r="IA7" s="52"/>
      <c r="IB7" s="52"/>
      <c r="IC7" s="52"/>
      <c r="ID7" s="52"/>
      <c r="IE7" s="52"/>
      <c r="IF7" s="52"/>
      <c r="IG7" s="52"/>
      <c r="IH7" s="52"/>
      <c r="II7" s="52"/>
      <c r="IJ7" s="52"/>
      <c r="IK7" s="52"/>
      <c r="IL7" s="52"/>
      <c r="IM7" s="52"/>
      <c r="IN7" s="52"/>
      <c r="IO7" s="52"/>
      <c r="IP7" s="52"/>
      <c r="IQ7" s="52"/>
      <c r="IR7" s="52"/>
      <c r="IS7" s="52"/>
      <c r="IT7" s="52"/>
      <c r="IU7" s="52"/>
      <c r="IV7" s="52"/>
      <c r="IW7" s="52"/>
    </row>
    <row r="8" spans="1:257" ht="13.05" customHeight="1">
      <c r="A8" s="187"/>
      <c r="B8" s="313" t="s">
        <v>256</v>
      </c>
      <c r="C8" s="4"/>
      <c r="D8" s="4"/>
      <c r="E8" s="4"/>
      <c r="F8" s="62"/>
      <c r="G8" s="62"/>
      <c r="H8" s="62"/>
      <c r="I8" s="62"/>
      <c r="J8" s="62"/>
      <c r="K8" s="199"/>
      <c r="L8" s="199"/>
      <c r="M8" s="199"/>
      <c r="N8" s="199"/>
      <c r="O8" s="199"/>
      <c r="P8" s="199"/>
      <c r="Q8" s="199"/>
      <c r="R8" s="199"/>
      <c r="T8" s="188">
        <f t="shared" ref="T8:T39" si="0">IF(NOT(ISBLANK(B8)), 1, 0)</f>
        <v>1</v>
      </c>
      <c r="U8" s="35">
        <v>1</v>
      </c>
    </row>
    <row r="9" spans="1:257" ht="13.05" customHeight="1">
      <c r="A9" s="187"/>
      <c r="B9" s="230" t="s">
        <v>255</v>
      </c>
      <c r="C9" s="4" t="s">
        <v>129</v>
      </c>
      <c r="D9" s="4" t="s">
        <v>128</v>
      </c>
      <c r="E9" s="4"/>
      <c r="F9" s="382"/>
      <c r="G9" s="199">
        <f>SUM(G25,G34)</f>
        <v>140.5</v>
      </c>
      <c r="H9" s="199">
        <f t="shared" ref="H9:R9" si="1">G12</f>
        <v>1036.7</v>
      </c>
      <c r="I9" s="199">
        <f t="shared" si="1"/>
        <v>1021.7</v>
      </c>
      <c r="J9" s="199">
        <f t="shared" si="1"/>
        <v>1733.9</v>
      </c>
      <c r="K9" s="210">
        <f t="shared" si="1"/>
        <v>1733.9</v>
      </c>
      <c r="L9" s="210">
        <f t="shared" si="1"/>
        <v>1733.9</v>
      </c>
      <c r="M9" s="210">
        <f t="shared" si="1"/>
        <v>1733.9</v>
      </c>
      <c r="N9" s="210">
        <f t="shared" si="1"/>
        <v>1733.9</v>
      </c>
      <c r="O9" s="210">
        <f t="shared" si="1"/>
        <v>1733.9</v>
      </c>
      <c r="P9" s="210">
        <f t="shared" si="1"/>
        <v>1733.9</v>
      </c>
      <c r="Q9" s="210">
        <f t="shared" si="1"/>
        <v>1733.9</v>
      </c>
      <c r="R9" s="210">
        <f t="shared" si="1"/>
        <v>1733.9</v>
      </c>
      <c r="T9" s="188">
        <f t="shared" si="0"/>
        <v>1</v>
      </c>
      <c r="U9" s="35">
        <v>1</v>
      </c>
    </row>
    <row r="10" spans="1:257" ht="13.05" customHeight="1">
      <c r="A10" s="187"/>
      <c r="B10" s="307" t="s">
        <v>254</v>
      </c>
      <c r="C10" s="43" t="s">
        <v>129</v>
      </c>
      <c r="D10" s="43" t="s">
        <v>128</v>
      </c>
      <c r="E10" s="43"/>
      <c r="F10" s="383"/>
      <c r="G10" s="207">
        <f t="shared" ref="G10:J11" si="2">SUM(G26,G36)</f>
        <v>896.7</v>
      </c>
      <c r="H10" s="207">
        <f t="shared" si="2"/>
        <v>0</v>
      </c>
      <c r="I10" s="207">
        <f t="shared" si="2"/>
        <v>997.2</v>
      </c>
      <c r="J10" s="207">
        <f t="shared" si="2"/>
        <v>1100</v>
      </c>
      <c r="K10" s="206">
        <f t="shared" ref="K10:R10" si="3">SUM(K26,K35:K36)</f>
        <v>0</v>
      </c>
      <c r="L10" s="206">
        <f t="shared" si="3"/>
        <v>0</v>
      </c>
      <c r="M10" s="206">
        <f t="shared" si="3"/>
        <v>0</v>
      </c>
      <c r="N10" s="206">
        <f t="shared" si="3"/>
        <v>0</v>
      </c>
      <c r="O10" s="206">
        <f t="shared" si="3"/>
        <v>0</v>
      </c>
      <c r="P10" s="206">
        <f t="shared" si="3"/>
        <v>0</v>
      </c>
      <c r="Q10" s="206">
        <f t="shared" si="3"/>
        <v>0</v>
      </c>
      <c r="R10" s="206">
        <f t="shared" si="3"/>
        <v>0</v>
      </c>
      <c r="T10" s="188">
        <f t="shared" si="0"/>
        <v>1</v>
      </c>
      <c r="U10" s="35">
        <v>1</v>
      </c>
    </row>
    <row r="11" spans="1:257" ht="13.05" customHeight="1">
      <c r="A11" s="187"/>
      <c r="B11" s="375" t="s">
        <v>253</v>
      </c>
      <c r="C11" s="96" t="s">
        <v>129</v>
      </c>
      <c r="D11" s="96" t="s">
        <v>128</v>
      </c>
      <c r="E11" s="96"/>
      <c r="F11" s="382"/>
      <c r="G11" s="213">
        <f t="shared" si="2"/>
        <v>-0.5</v>
      </c>
      <c r="H11" s="213">
        <f t="shared" si="2"/>
        <v>-15</v>
      </c>
      <c r="I11" s="213">
        <f t="shared" si="2"/>
        <v>-285</v>
      </c>
      <c r="J11" s="213">
        <f t="shared" si="2"/>
        <v>-1100</v>
      </c>
      <c r="K11" s="212">
        <f t="shared" ref="K11:R11" si="4">SUM(K27,K37)</f>
        <v>0</v>
      </c>
      <c r="L11" s="212">
        <f t="shared" si="4"/>
        <v>0</v>
      </c>
      <c r="M11" s="212">
        <f t="shared" si="4"/>
        <v>0</v>
      </c>
      <c r="N11" s="212">
        <f t="shared" si="4"/>
        <v>0</v>
      </c>
      <c r="O11" s="212">
        <f t="shared" si="4"/>
        <v>0</v>
      </c>
      <c r="P11" s="212">
        <f t="shared" si="4"/>
        <v>0</v>
      </c>
      <c r="Q11" s="212">
        <f t="shared" si="4"/>
        <v>0</v>
      </c>
      <c r="R11" s="212">
        <f t="shared" si="4"/>
        <v>0</v>
      </c>
      <c r="T11" s="188">
        <f t="shared" si="0"/>
        <v>1</v>
      </c>
      <c r="U11" s="35">
        <v>1</v>
      </c>
    </row>
    <row r="12" spans="1:257" s="2" customFormat="1" ht="13.05" customHeight="1">
      <c r="A12" s="187"/>
      <c r="B12" s="230" t="s">
        <v>252</v>
      </c>
      <c r="C12" s="4" t="s">
        <v>129</v>
      </c>
      <c r="D12" s="4" t="s">
        <v>128</v>
      </c>
      <c r="E12" s="7"/>
      <c r="F12" s="359">
        <f>G9</f>
        <v>140.5</v>
      </c>
      <c r="G12" s="199">
        <f t="shared" ref="G12:R12" si="5">SUM(G9:G11)</f>
        <v>1036.7</v>
      </c>
      <c r="H12" s="199">
        <f t="shared" si="5"/>
        <v>1021.7</v>
      </c>
      <c r="I12" s="199">
        <f t="shared" si="5"/>
        <v>1733.9</v>
      </c>
      <c r="J12" s="199">
        <f t="shared" si="5"/>
        <v>1733.9</v>
      </c>
      <c r="K12" s="210">
        <f t="shared" si="5"/>
        <v>1733.9</v>
      </c>
      <c r="L12" s="210">
        <f t="shared" si="5"/>
        <v>1733.9</v>
      </c>
      <c r="M12" s="210">
        <f t="shared" si="5"/>
        <v>1733.9</v>
      </c>
      <c r="N12" s="210">
        <f t="shared" si="5"/>
        <v>1733.9</v>
      </c>
      <c r="O12" s="210">
        <f t="shared" si="5"/>
        <v>1733.9</v>
      </c>
      <c r="P12" s="210">
        <f t="shared" si="5"/>
        <v>1733.9</v>
      </c>
      <c r="Q12" s="210">
        <f t="shared" si="5"/>
        <v>1733.9</v>
      </c>
      <c r="R12" s="210">
        <f t="shared" si="5"/>
        <v>1733.9</v>
      </c>
      <c r="T12" s="188">
        <f t="shared" si="0"/>
        <v>1</v>
      </c>
      <c r="U12" s="35">
        <v>1</v>
      </c>
    </row>
    <row r="13" spans="1:257" s="2" customFormat="1" ht="13.05" customHeight="1">
      <c r="A13" s="187"/>
      <c r="B13" s="230"/>
      <c r="C13" s="4"/>
      <c r="D13" s="4"/>
      <c r="E13" s="7"/>
      <c r="F13" s="360"/>
      <c r="G13" s="199"/>
      <c r="H13" s="199"/>
      <c r="I13" s="199"/>
      <c r="J13" s="199"/>
      <c r="K13" s="199"/>
      <c r="L13" s="199"/>
      <c r="M13" s="199"/>
      <c r="N13" s="199"/>
      <c r="O13" s="199"/>
      <c r="P13" s="199"/>
      <c r="Q13" s="199"/>
      <c r="R13" s="199"/>
      <c r="T13" s="188">
        <f t="shared" si="0"/>
        <v>0</v>
      </c>
      <c r="U13" s="35">
        <v>0</v>
      </c>
    </row>
    <row r="14" spans="1:257" s="2" customFormat="1" ht="13.05" customHeight="1">
      <c r="A14" s="187"/>
      <c r="B14" s="313" t="s">
        <v>251</v>
      </c>
      <c r="C14" s="4"/>
      <c r="D14" s="4"/>
      <c r="E14" s="7"/>
      <c r="F14" s="7"/>
      <c r="G14" s="199"/>
      <c r="H14" s="199"/>
      <c r="I14" s="199"/>
      <c r="J14" s="199"/>
      <c r="K14" s="199"/>
      <c r="L14" s="199"/>
      <c r="M14" s="199"/>
      <c r="N14" s="199"/>
      <c r="O14" s="199"/>
      <c r="P14" s="199"/>
      <c r="Q14" s="199"/>
      <c r="R14" s="199"/>
      <c r="T14" s="188">
        <f t="shared" si="0"/>
        <v>1</v>
      </c>
      <c r="U14" s="35">
        <v>1</v>
      </c>
    </row>
    <row r="15" spans="1:257" ht="13.05" customHeight="1">
      <c r="A15" s="187"/>
      <c r="B15" s="230" t="s">
        <v>250</v>
      </c>
      <c r="C15" s="4" t="s">
        <v>129</v>
      </c>
      <c r="D15" s="4" t="s">
        <v>128</v>
      </c>
      <c r="E15" s="4"/>
      <c r="F15" s="360"/>
      <c r="G15" s="199">
        <f t="shared" ref="G15:R15" si="6">SUM(G30,G42)</f>
        <v>6.4</v>
      </c>
      <c r="H15" s="199">
        <f t="shared" si="6"/>
        <v>26.9</v>
      </c>
      <c r="I15" s="199">
        <f t="shared" si="6"/>
        <v>28.4</v>
      </c>
      <c r="J15" s="199">
        <f t="shared" si="6"/>
        <v>74</v>
      </c>
      <c r="K15" s="210">
        <f t="shared" si="6"/>
        <v>0</v>
      </c>
      <c r="L15" s="210">
        <f t="shared" si="6"/>
        <v>0</v>
      </c>
      <c r="M15" s="210">
        <f t="shared" si="6"/>
        <v>0</v>
      </c>
      <c r="N15" s="210">
        <f t="shared" si="6"/>
        <v>0</v>
      </c>
      <c r="O15" s="210">
        <f t="shared" si="6"/>
        <v>0</v>
      </c>
      <c r="P15" s="210">
        <f t="shared" si="6"/>
        <v>0</v>
      </c>
      <c r="Q15" s="210">
        <f t="shared" si="6"/>
        <v>0</v>
      </c>
      <c r="R15" s="210">
        <f t="shared" si="6"/>
        <v>0</v>
      </c>
      <c r="S15" s="28"/>
      <c r="T15" s="188">
        <f t="shared" si="0"/>
        <v>1</v>
      </c>
      <c r="U15" s="35">
        <v>1</v>
      </c>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row>
    <row r="16" spans="1:257" ht="13.05" customHeight="1">
      <c r="B16" s="208" t="s">
        <v>6</v>
      </c>
      <c r="C16" s="43" t="s">
        <v>129</v>
      </c>
      <c r="D16" s="43" t="s">
        <v>128</v>
      </c>
      <c r="E16" s="43"/>
      <c r="F16" s="359"/>
      <c r="G16" s="156">
        <f>'DCF - Financials'!G115</f>
        <v>1291.8</v>
      </c>
      <c r="H16" s="156">
        <f>'DCF - Financials'!H115</f>
        <v>859</v>
      </c>
      <c r="I16" s="156">
        <f>'DCF - Financials'!I115</f>
        <v>2672.9</v>
      </c>
      <c r="J16" s="156">
        <f>'DCF - Financials'!J115</f>
        <v>1243.4000000000001</v>
      </c>
      <c r="K16" s="155">
        <f>'DCF - Financials'!K115</f>
        <v>0</v>
      </c>
      <c r="L16" s="155">
        <f>'DCF - Financials'!L115</f>
        <v>0</v>
      </c>
      <c r="M16" s="155">
        <f>'DCF - Financials'!M115</f>
        <v>0</v>
      </c>
      <c r="N16" s="155">
        <f>'DCF - Financials'!N115</f>
        <v>0</v>
      </c>
      <c r="O16" s="155">
        <f>'DCF - Financials'!O115</f>
        <v>0</v>
      </c>
      <c r="P16" s="155">
        <f>'DCF - Financials'!P115</f>
        <v>0</v>
      </c>
      <c r="Q16" s="155">
        <f>'DCF - Financials'!Q115</f>
        <v>0</v>
      </c>
      <c r="R16" s="155">
        <f>'DCF - Financials'!R115</f>
        <v>0</v>
      </c>
      <c r="T16" s="188">
        <f t="shared" si="0"/>
        <v>1</v>
      </c>
      <c r="U16" s="35">
        <v>1</v>
      </c>
    </row>
    <row r="17" spans="1:258" ht="13.05" customHeight="1">
      <c r="B17" s="24" t="s">
        <v>222</v>
      </c>
      <c r="C17" s="4" t="s">
        <v>129</v>
      </c>
      <c r="D17" s="4" t="s">
        <v>128</v>
      </c>
      <c r="E17" s="4"/>
      <c r="F17" s="360"/>
      <c r="G17" s="164">
        <f t="shared" ref="G17:R17" si="7">SUM(G12,-G16)</f>
        <v>-255.09999999999991</v>
      </c>
      <c r="H17" s="164">
        <f t="shared" si="7"/>
        <v>162.70000000000005</v>
      </c>
      <c r="I17" s="164">
        <f t="shared" si="7"/>
        <v>-939</v>
      </c>
      <c r="J17" s="164">
        <f t="shared" si="7"/>
        <v>490.5</v>
      </c>
      <c r="K17" s="67">
        <f t="shared" si="7"/>
        <v>1733.9</v>
      </c>
      <c r="L17" s="67">
        <f t="shared" si="7"/>
        <v>1733.9</v>
      </c>
      <c r="M17" s="67">
        <f t="shared" si="7"/>
        <v>1733.9</v>
      </c>
      <c r="N17" s="67">
        <f t="shared" si="7"/>
        <v>1733.9</v>
      </c>
      <c r="O17" s="67">
        <f t="shared" si="7"/>
        <v>1733.9</v>
      </c>
      <c r="P17" s="67">
        <f t="shared" si="7"/>
        <v>1733.9</v>
      </c>
      <c r="Q17" s="67">
        <f t="shared" si="7"/>
        <v>1733.9</v>
      </c>
      <c r="R17" s="67">
        <f t="shared" si="7"/>
        <v>1733.9</v>
      </c>
      <c r="T17" s="188">
        <f t="shared" si="0"/>
        <v>1</v>
      </c>
      <c r="U17" s="35">
        <v>1</v>
      </c>
    </row>
    <row r="18" spans="1:258" ht="13.05" customHeight="1">
      <c r="B18" s="24" t="s">
        <v>249</v>
      </c>
      <c r="C18" s="4" t="s">
        <v>129</v>
      </c>
      <c r="D18" s="4" t="s">
        <v>128</v>
      </c>
      <c r="E18" s="4"/>
      <c r="F18" s="360"/>
      <c r="G18" s="164">
        <f>'DCF - Financials'!G34</f>
        <v>964.00000000000045</v>
      </c>
      <c r="H18" s="164">
        <f>'DCF - Financials'!H34</f>
        <v>977.60000000000059</v>
      </c>
      <c r="I18" s="164">
        <f>'DCF - Financials'!I34</f>
        <v>1086.0999999999999</v>
      </c>
      <c r="J18" s="164">
        <f>'DCF - Financials'!J34</f>
        <v>1147.3000000000002</v>
      </c>
      <c r="K18" s="67">
        <f>'DCF - Financials'!K34</f>
        <v>0</v>
      </c>
      <c r="L18" s="67">
        <f>'DCF - Financials'!L34</f>
        <v>0</v>
      </c>
      <c r="M18" s="67">
        <f>'DCF - Financials'!M34</f>
        <v>0</v>
      </c>
      <c r="N18" s="67">
        <f>'DCF - Financials'!N34</f>
        <v>0</v>
      </c>
      <c r="O18" s="67">
        <f>'DCF - Financials'!O34</f>
        <v>0</v>
      </c>
      <c r="P18" s="67">
        <f>'DCF - Financials'!P34</f>
        <v>0</v>
      </c>
      <c r="Q18" s="67">
        <f>'DCF - Financials'!Q34</f>
        <v>0</v>
      </c>
      <c r="R18" s="67">
        <f>'DCF - Financials'!R34</f>
        <v>0</v>
      </c>
      <c r="T18" s="188">
        <f t="shared" si="0"/>
        <v>1</v>
      </c>
      <c r="U18" s="35">
        <v>1</v>
      </c>
    </row>
    <row r="19" spans="1:258" s="7" customFormat="1" ht="13.05" customHeight="1">
      <c r="A19" s="90"/>
      <c r="B19" s="380" t="str">
        <f>B52</f>
        <v>Net Debt / EBITDA (Output)</v>
      </c>
      <c r="C19" s="142" t="s">
        <v>227</v>
      </c>
      <c r="D19" s="142" t="s">
        <v>128</v>
      </c>
      <c r="E19" s="142"/>
      <c r="F19" s="381"/>
      <c r="G19" s="380">
        <f t="shared" ref="G19:R19" si="8">G52</f>
        <v>-0.26462655601659729</v>
      </c>
      <c r="H19" s="380">
        <f t="shared" si="8"/>
        <v>0.16642798690671026</v>
      </c>
      <c r="I19" s="380">
        <f t="shared" si="8"/>
        <v>-0.86456127428413598</v>
      </c>
      <c r="J19" s="380">
        <f t="shared" si="8"/>
        <v>0.42752549463958855</v>
      </c>
      <c r="K19" s="379">
        <f t="shared" si="8"/>
        <v>0</v>
      </c>
      <c r="L19" s="379">
        <f t="shared" si="8"/>
        <v>0</v>
      </c>
      <c r="M19" s="379">
        <f t="shared" si="8"/>
        <v>0</v>
      </c>
      <c r="N19" s="379">
        <f t="shared" si="8"/>
        <v>0</v>
      </c>
      <c r="O19" s="379">
        <f t="shared" si="8"/>
        <v>0</v>
      </c>
      <c r="P19" s="379">
        <f t="shared" si="8"/>
        <v>0</v>
      </c>
      <c r="Q19" s="379">
        <f t="shared" si="8"/>
        <v>0</v>
      </c>
      <c r="R19" s="379">
        <f t="shared" si="8"/>
        <v>0</v>
      </c>
      <c r="T19" s="188">
        <f t="shared" si="0"/>
        <v>1</v>
      </c>
      <c r="U19" s="35">
        <v>1</v>
      </c>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row>
    <row r="20" spans="1:258" s="7" customFormat="1" ht="13.05" customHeight="1">
      <c r="A20" s="90"/>
      <c r="B20" s="347" t="str">
        <f>B53</f>
        <v>EBITDA / Interest Expense for Debt Sizing (Output)</v>
      </c>
      <c r="C20" s="4" t="s">
        <v>227</v>
      </c>
      <c r="D20" s="4" t="s">
        <v>128</v>
      </c>
      <c r="E20" s="4"/>
      <c r="F20" s="360"/>
      <c r="G20" s="347">
        <f t="shared" ref="G20:R20" si="9">G53</f>
        <v>150.62500000000006</v>
      </c>
      <c r="H20" s="347">
        <f t="shared" si="9"/>
        <v>36.342007434944264</v>
      </c>
      <c r="I20" s="347">
        <f t="shared" si="9"/>
        <v>38.242957746478872</v>
      </c>
      <c r="J20" s="347">
        <f t="shared" si="9"/>
        <v>15.504054054054057</v>
      </c>
      <c r="K20" s="346">
        <f t="shared" si="9"/>
        <v>0</v>
      </c>
      <c r="L20" s="346">
        <f t="shared" si="9"/>
        <v>0</v>
      </c>
      <c r="M20" s="346">
        <f t="shared" si="9"/>
        <v>0</v>
      </c>
      <c r="N20" s="346">
        <f t="shared" si="9"/>
        <v>0</v>
      </c>
      <c r="O20" s="346">
        <f t="shared" si="9"/>
        <v>0</v>
      </c>
      <c r="P20" s="346">
        <f t="shared" si="9"/>
        <v>0</v>
      </c>
      <c r="Q20" s="346">
        <f t="shared" si="9"/>
        <v>0</v>
      </c>
      <c r="R20" s="346">
        <f t="shared" si="9"/>
        <v>0</v>
      </c>
      <c r="T20" s="188">
        <f t="shared" si="0"/>
        <v>1</v>
      </c>
      <c r="U20" s="35">
        <v>1</v>
      </c>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row>
    <row r="21" spans="1:258" s="7" customFormat="1" ht="13.05" customHeight="1">
      <c r="A21" s="90"/>
      <c r="B21" s="380" t="str">
        <f>B54</f>
        <v>Net Debt / Adjusted EBITDA (Output)</v>
      </c>
      <c r="C21" s="142" t="s">
        <v>227</v>
      </c>
      <c r="D21" s="142" t="s">
        <v>128</v>
      </c>
      <c r="E21" s="142"/>
      <c r="F21" s="381"/>
      <c r="G21" s="380">
        <f t="shared" ref="G21:R21" si="10">G54</f>
        <v>0</v>
      </c>
      <c r="H21" s="380">
        <f t="shared" si="10"/>
        <v>0.16642798690671026</v>
      </c>
      <c r="I21" s="380">
        <f t="shared" si="10"/>
        <v>0</v>
      </c>
      <c r="J21" s="380">
        <f t="shared" si="10"/>
        <v>0.42752549463958855</v>
      </c>
      <c r="K21" s="379">
        <f t="shared" si="10"/>
        <v>0</v>
      </c>
      <c r="L21" s="379">
        <f t="shared" si="10"/>
        <v>0</v>
      </c>
      <c r="M21" s="379">
        <f t="shared" si="10"/>
        <v>0</v>
      </c>
      <c r="N21" s="379">
        <f t="shared" si="10"/>
        <v>0</v>
      </c>
      <c r="O21" s="379">
        <f t="shared" si="10"/>
        <v>0</v>
      </c>
      <c r="P21" s="379">
        <f t="shared" si="10"/>
        <v>0</v>
      </c>
      <c r="Q21" s="379">
        <f t="shared" si="10"/>
        <v>0</v>
      </c>
      <c r="R21" s="379">
        <f t="shared" si="10"/>
        <v>0</v>
      </c>
      <c r="T21" s="188">
        <f t="shared" si="0"/>
        <v>1</v>
      </c>
      <c r="U21" s="35">
        <v>1</v>
      </c>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row>
    <row r="22" spans="1:258" s="7" customFormat="1" ht="13.05" customHeight="1">
      <c r="A22" s="90"/>
      <c r="B22" s="378" t="str">
        <f>B55</f>
        <v>Adjusted EBITDA / Interest Expense for Debt Sizing (Output)</v>
      </c>
      <c r="C22" s="132" t="s">
        <v>227</v>
      </c>
      <c r="D22" s="132" t="s">
        <v>128</v>
      </c>
      <c r="E22" s="132"/>
      <c r="F22" s="360"/>
      <c r="G22" s="378">
        <f t="shared" ref="G22:R22" si="11">G55</f>
        <v>150.62500000000006</v>
      </c>
      <c r="H22" s="378">
        <f t="shared" si="11"/>
        <v>36.342007434944264</v>
      </c>
      <c r="I22" s="378">
        <f t="shared" si="11"/>
        <v>38.242957746478872</v>
      </c>
      <c r="J22" s="378">
        <f t="shared" si="11"/>
        <v>15.504054054054057</v>
      </c>
      <c r="K22" s="377">
        <f t="shared" si="11"/>
        <v>0</v>
      </c>
      <c r="L22" s="377">
        <f t="shared" si="11"/>
        <v>0</v>
      </c>
      <c r="M22" s="377">
        <f t="shared" si="11"/>
        <v>0</v>
      </c>
      <c r="N22" s="377">
        <f t="shared" si="11"/>
        <v>0</v>
      </c>
      <c r="O22" s="377">
        <f t="shared" si="11"/>
        <v>0</v>
      </c>
      <c r="P22" s="377">
        <f t="shared" si="11"/>
        <v>0</v>
      </c>
      <c r="Q22" s="377">
        <f t="shared" si="11"/>
        <v>0</v>
      </c>
      <c r="R22" s="377">
        <f t="shared" si="11"/>
        <v>0</v>
      </c>
      <c r="T22" s="188">
        <f t="shared" si="0"/>
        <v>1</v>
      </c>
      <c r="U22" s="35">
        <v>1</v>
      </c>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row>
    <row r="23" spans="1:258" ht="13.05" customHeight="1">
      <c r="B23" s="169"/>
      <c r="C23" s="4"/>
      <c r="D23" s="4"/>
      <c r="E23" s="4"/>
      <c r="F23" s="4"/>
      <c r="G23" s="4"/>
      <c r="H23" s="4"/>
      <c r="I23" s="4"/>
      <c r="J23" s="4"/>
      <c r="K23" s="376"/>
      <c r="L23" s="355"/>
      <c r="M23" s="355"/>
      <c r="N23" s="355"/>
      <c r="O23" s="355"/>
      <c r="P23" s="355"/>
      <c r="Q23" s="355"/>
      <c r="R23" s="355"/>
      <c r="T23" s="188">
        <f t="shared" si="0"/>
        <v>0</v>
      </c>
      <c r="U23" s="35">
        <v>0</v>
      </c>
    </row>
    <row r="24" spans="1:258" ht="13.05" customHeight="1">
      <c r="A24" s="187"/>
      <c r="B24" s="313" t="s">
        <v>248</v>
      </c>
      <c r="C24" s="4"/>
      <c r="D24" s="4"/>
      <c r="E24" s="4"/>
      <c r="F24" s="4"/>
      <c r="G24" s="4"/>
      <c r="H24" s="4"/>
      <c r="I24" s="4"/>
      <c r="J24" s="4"/>
      <c r="K24" s="4"/>
      <c r="L24" s="4"/>
      <c r="M24" s="4"/>
      <c r="N24" s="4"/>
      <c r="O24" s="4"/>
      <c r="P24" s="4"/>
      <c r="Q24" s="4"/>
      <c r="R24" s="4"/>
      <c r="T24" s="188">
        <f t="shared" si="0"/>
        <v>1</v>
      </c>
      <c r="U24" s="35">
        <v>1</v>
      </c>
    </row>
    <row r="25" spans="1:258" ht="13.05" customHeight="1">
      <c r="A25" s="187"/>
      <c r="B25" s="375" t="s">
        <v>247</v>
      </c>
      <c r="C25" s="96" t="s">
        <v>129</v>
      </c>
      <c r="D25" s="96" t="s">
        <v>128</v>
      </c>
      <c r="E25" s="96"/>
      <c r="F25" s="374"/>
      <c r="G25" s="213">
        <f>'DCF - Financials'!F135</f>
        <v>140.5</v>
      </c>
      <c r="H25" s="213">
        <f>'DCF - Financials'!G135</f>
        <v>890.4</v>
      </c>
      <c r="I25" s="213">
        <f>'DCF - Financials'!H135</f>
        <v>876.2</v>
      </c>
      <c r="J25" s="213">
        <f>'DCF - Financials'!I135</f>
        <v>1579.5</v>
      </c>
      <c r="K25" s="212">
        <f>'DCF - Financials'!J135</f>
        <v>1600.6000000000001</v>
      </c>
      <c r="L25" s="212">
        <f>'DCF - Financials'!K135</f>
        <v>0</v>
      </c>
      <c r="M25" s="212">
        <f>'DCF - Financials'!L135</f>
        <v>0</v>
      </c>
      <c r="N25" s="212">
        <f>'DCF - Financials'!M135</f>
        <v>0</v>
      </c>
      <c r="O25" s="212">
        <f>'DCF - Financials'!N135</f>
        <v>0</v>
      </c>
      <c r="P25" s="212">
        <f>'DCF - Financials'!O135</f>
        <v>0</v>
      </c>
      <c r="Q25" s="212">
        <f>'DCF - Financials'!P135</f>
        <v>0</v>
      </c>
      <c r="R25" s="212">
        <f>'DCF - Financials'!Q135</f>
        <v>0</v>
      </c>
      <c r="T25" s="188">
        <f t="shared" si="0"/>
        <v>1</v>
      </c>
      <c r="U25" s="35">
        <v>1</v>
      </c>
    </row>
    <row r="26" spans="1:258" ht="13.05" customHeight="1">
      <c r="A26" s="187"/>
      <c r="B26" s="307" t="s">
        <v>246</v>
      </c>
      <c r="C26" s="43" t="s">
        <v>129</v>
      </c>
      <c r="D26" s="43" t="s">
        <v>184</v>
      </c>
      <c r="E26" s="43"/>
      <c r="F26" s="359"/>
      <c r="G26" s="207">
        <f>'DCF - Financials'!G87</f>
        <v>896.7</v>
      </c>
      <c r="H26" s="207">
        <f>'DCF - Financials'!H87</f>
        <v>0</v>
      </c>
      <c r="I26" s="207">
        <f>'DCF - Financials'!I87</f>
        <v>997.2</v>
      </c>
      <c r="J26" s="207">
        <f>'DCF - Financials'!J87</f>
        <v>1100</v>
      </c>
      <c r="K26" s="373">
        <v>0</v>
      </c>
      <c r="L26" s="373">
        <v>0</v>
      </c>
      <c r="M26" s="373">
        <v>0</v>
      </c>
      <c r="N26" s="373">
        <v>0</v>
      </c>
      <c r="O26" s="373">
        <v>0</v>
      </c>
      <c r="P26" s="373">
        <v>0</v>
      </c>
      <c r="Q26" s="373">
        <v>0</v>
      </c>
      <c r="R26" s="373">
        <v>0</v>
      </c>
      <c r="T26" s="188">
        <f t="shared" si="0"/>
        <v>1</v>
      </c>
      <c r="U26" s="35">
        <v>1</v>
      </c>
    </row>
    <row r="27" spans="1:258" ht="13.05" customHeight="1">
      <c r="A27" s="187"/>
      <c r="B27" s="230" t="s">
        <v>245</v>
      </c>
      <c r="C27" s="4" t="s">
        <v>129</v>
      </c>
      <c r="D27" s="4" t="s">
        <v>184</v>
      </c>
      <c r="E27" s="4"/>
      <c r="F27" s="360"/>
      <c r="G27" s="199">
        <f>'DCF - Financials'!G88</f>
        <v>-0.5</v>
      </c>
      <c r="H27" s="199">
        <f>'DCF - Financials'!H88</f>
        <v>-15</v>
      </c>
      <c r="I27" s="199">
        <f>'DCF - Financials'!I88</f>
        <v>-285</v>
      </c>
      <c r="J27" s="199">
        <f>'DCF - Financials'!J88</f>
        <v>-1100</v>
      </c>
      <c r="K27" s="322">
        <v>0</v>
      </c>
      <c r="L27" s="322">
        <v>0</v>
      </c>
      <c r="M27" s="322">
        <v>0</v>
      </c>
      <c r="N27" s="322">
        <v>0</v>
      </c>
      <c r="O27" s="322">
        <v>0</v>
      </c>
      <c r="P27" s="322">
        <v>0</v>
      </c>
      <c r="Q27" s="322">
        <v>0</v>
      </c>
      <c r="R27" s="322">
        <v>0</v>
      </c>
      <c r="S27" s="7"/>
      <c r="T27" s="188">
        <f t="shared" si="0"/>
        <v>1</v>
      </c>
      <c r="U27" s="35">
        <v>1</v>
      </c>
      <c r="V27" s="7"/>
    </row>
    <row r="28" spans="1:258" s="43" customFormat="1" ht="13.05" customHeight="1">
      <c r="A28" s="90"/>
      <c r="B28" s="307" t="s">
        <v>244</v>
      </c>
      <c r="C28" s="43" t="s">
        <v>129</v>
      </c>
      <c r="D28" s="43" t="s">
        <v>128</v>
      </c>
      <c r="F28" s="359">
        <f>G25</f>
        <v>140.5</v>
      </c>
      <c r="G28" s="207">
        <f t="shared" ref="G28:R28" si="12">SUM(G25:G27)</f>
        <v>1036.7</v>
      </c>
      <c r="H28" s="207">
        <f t="shared" si="12"/>
        <v>875.4</v>
      </c>
      <c r="I28" s="207">
        <f t="shared" si="12"/>
        <v>1588.4</v>
      </c>
      <c r="J28" s="207">
        <f t="shared" si="12"/>
        <v>1579.5</v>
      </c>
      <c r="K28" s="206">
        <f t="shared" si="12"/>
        <v>1600.6000000000001</v>
      </c>
      <c r="L28" s="206">
        <f t="shared" si="12"/>
        <v>0</v>
      </c>
      <c r="M28" s="206">
        <f t="shared" si="12"/>
        <v>0</v>
      </c>
      <c r="N28" s="206">
        <f t="shared" si="12"/>
        <v>0</v>
      </c>
      <c r="O28" s="206">
        <f t="shared" si="12"/>
        <v>0</v>
      </c>
      <c r="P28" s="206">
        <f t="shared" si="12"/>
        <v>0</v>
      </c>
      <c r="Q28" s="206">
        <f t="shared" si="12"/>
        <v>0</v>
      </c>
      <c r="R28" s="206">
        <f t="shared" si="12"/>
        <v>0</v>
      </c>
      <c r="S28" s="7"/>
      <c r="T28" s="188">
        <f t="shared" si="0"/>
        <v>1</v>
      </c>
      <c r="U28" s="35">
        <v>1</v>
      </c>
      <c r="V28" s="7"/>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row>
    <row r="29" spans="1:258" s="4" customFormat="1" ht="13.05" customHeight="1">
      <c r="A29" s="90"/>
      <c r="B29" s="230"/>
      <c r="G29" s="328"/>
      <c r="H29" s="328"/>
      <c r="I29" s="328"/>
      <c r="J29" s="328"/>
      <c r="K29" s="199"/>
      <c r="L29" s="199"/>
      <c r="M29" s="199"/>
      <c r="N29" s="199"/>
      <c r="O29" s="199"/>
      <c r="P29" s="199"/>
      <c r="Q29" s="199"/>
      <c r="R29" s="199"/>
      <c r="S29" s="7"/>
      <c r="T29" s="188">
        <f t="shared" si="0"/>
        <v>0</v>
      </c>
      <c r="U29" s="35">
        <v>0</v>
      </c>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row>
    <row r="30" spans="1:258" s="4" customFormat="1" ht="13.05" customHeight="1">
      <c r="A30" s="90"/>
      <c r="B30" s="230" t="s">
        <v>243</v>
      </c>
      <c r="C30" s="4" t="s">
        <v>129</v>
      </c>
      <c r="D30" s="4" t="s">
        <v>128</v>
      </c>
      <c r="F30" s="372">
        <f>-'DCF - Financials'!F37</f>
        <v>-2.181</v>
      </c>
      <c r="G30" s="328">
        <f>-'DCF - Financials'!G37</f>
        <v>6.4</v>
      </c>
      <c r="H30" s="328">
        <f>-'DCF - Financials'!H37</f>
        <v>26.9</v>
      </c>
      <c r="I30" s="328">
        <f>-'DCF - Financials'!I37</f>
        <v>28.4</v>
      </c>
      <c r="J30" s="328">
        <f>-'DCF - Financials'!J37</f>
        <v>74</v>
      </c>
      <c r="K30" s="317">
        <f t="shared" ref="K30:R30" si="13">K25*K31</f>
        <v>0</v>
      </c>
      <c r="L30" s="317">
        <f t="shared" si="13"/>
        <v>0</v>
      </c>
      <c r="M30" s="317">
        <f t="shared" si="13"/>
        <v>0</v>
      </c>
      <c r="N30" s="317">
        <f t="shared" si="13"/>
        <v>0</v>
      </c>
      <c r="O30" s="317">
        <f t="shared" si="13"/>
        <v>0</v>
      </c>
      <c r="P30" s="317">
        <f t="shared" si="13"/>
        <v>0</v>
      </c>
      <c r="Q30" s="317">
        <f t="shared" si="13"/>
        <v>0</v>
      </c>
      <c r="R30" s="317">
        <f t="shared" si="13"/>
        <v>0</v>
      </c>
      <c r="S30" s="7"/>
      <c r="T30" s="188">
        <f t="shared" si="0"/>
        <v>1</v>
      </c>
      <c r="U30" s="35">
        <v>1</v>
      </c>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row>
    <row r="31" spans="1:258" s="4" customFormat="1" ht="13.05" customHeight="1">
      <c r="A31" s="90"/>
      <c r="B31" s="230" t="s">
        <v>242</v>
      </c>
      <c r="C31" s="4" t="s">
        <v>125</v>
      </c>
      <c r="D31" s="4" t="s">
        <v>184</v>
      </c>
      <c r="F31" s="371"/>
      <c r="G31" s="370">
        <f>IFERROR(G30/SUM(G25:G26),0)</f>
        <v>6.1704589278827613E-3</v>
      </c>
      <c r="H31" s="370">
        <f>IFERROR(H30/SUM(H25:H26),0)</f>
        <v>3.0211141060197663E-2</v>
      </c>
      <c r="I31" s="370">
        <f>IFERROR(I30/SUM(I25:I26),0)</f>
        <v>1.5159602861108144E-2</v>
      </c>
      <c r="J31" s="370">
        <f>IFERROR(J30/SUM(J25:J26),0)</f>
        <v>2.7617092741183055E-2</v>
      </c>
      <c r="K31" s="369"/>
      <c r="L31" s="369"/>
      <c r="M31" s="369"/>
      <c r="N31" s="369"/>
      <c r="O31" s="369"/>
      <c r="P31" s="369"/>
      <c r="Q31" s="369"/>
      <c r="R31" s="369"/>
      <c r="S31" s="7"/>
      <c r="T31" s="188">
        <f t="shared" si="0"/>
        <v>1</v>
      </c>
      <c r="U31" s="35">
        <v>1</v>
      </c>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row>
    <row r="32" spans="1:258" ht="13.05" customHeight="1">
      <c r="A32" s="187"/>
      <c r="B32" s="230"/>
      <c r="C32" s="4"/>
      <c r="D32" s="4"/>
      <c r="E32" s="4"/>
      <c r="F32" s="199"/>
      <c r="G32" s="199"/>
      <c r="H32" s="199"/>
      <c r="I32" s="199"/>
      <c r="J32" s="199"/>
      <c r="K32" s="199"/>
      <c r="L32" s="199"/>
      <c r="M32" s="199"/>
      <c r="N32" s="199"/>
      <c r="O32" s="199"/>
      <c r="P32" s="199"/>
      <c r="Q32" s="199"/>
      <c r="R32" s="199"/>
      <c r="T32" s="188">
        <f t="shared" si="0"/>
        <v>0</v>
      </c>
      <c r="U32" s="35">
        <v>0</v>
      </c>
    </row>
    <row r="33" spans="1:98" ht="13.05" customHeight="1">
      <c r="A33" s="187"/>
      <c r="B33" s="313" t="s">
        <v>241</v>
      </c>
      <c r="C33" s="4"/>
      <c r="D33" s="4"/>
      <c r="E33" s="4"/>
      <c r="F33" s="62"/>
      <c r="G33" s="62"/>
      <c r="H33" s="4"/>
      <c r="I33" s="4"/>
      <c r="J33" s="4"/>
      <c r="K33" s="4"/>
      <c r="L33" s="4"/>
      <c r="M33" s="4"/>
      <c r="N33" s="4"/>
      <c r="O33" s="4"/>
      <c r="P33" s="4"/>
      <c r="Q33" s="4"/>
      <c r="R33" s="4"/>
      <c r="T33" s="188">
        <f t="shared" si="0"/>
        <v>1</v>
      </c>
      <c r="U33" s="35">
        <v>1</v>
      </c>
    </row>
    <row r="34" spans="1:98" ht="13.05" customHeight="1">
      <c r="A34" s="187"/>
      <c r="B34" s="368" t="s">
        <v>240</v>
      </c>
      <c r="C34" s="96" t="s">
        <v>129</v>
      </c>
      <c r="D34" s="96" t="s">
        <v>128</v>
      </c>
      <c r="E34" s="96"/>
      <c r="F34" s="367"/>
      <c r="G34" s="367"/>
      <c r="H34" s="367"/>
      <c r="I34" s="367"/>
      <c r="J34" s="367"/>
      <c r="K34" s="212">
        <f t="shared" ref="K34:R34" si="14">J38</f>
        <v>0</v>
      </c>
      <c r="L34" s="212">
        <f t="shared" si="14"/>
        <v>0</v>
      </c>
      <c r="M34" s="212">
        <f t="shared" si="14"/>
        <v>0</v>
      </c>
      <c r="N34" s="212">
        <f t="shared" si="14"/>
        <v>0</v>
      </c>
      <c r="O34" s="212">
        <f t="shared" si="14"/>
        <v>0</v>
      </c>
      <c r="P34" s="212">
        <f t="shared" si="14"/>
        <v>0</v>
      </c>
      <c r="Q34" s="212">
        <f t="shared" si="14"/>
        <v>0</v>
      </c>
      <c r="R34" s="212">
        <f t="shared" si="14"/>
        <v>0</v>
      </c>
      <c r="T34" s="188">
        <f t="shared" si="0"/>
        <v>1</v>
      </c>
      <c r="U34" s="35">
        <v>1</v>
      </c>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row>
    <row r="35" spans="1:98" ht="13.05" customHeight="1">
      <c r="A35" s="187"/>
      <c r="B35" s="327" t="s">
        <v>239</v>
      </c>
      <c r="C35" s="361" t="s">
        <v>129</v>
      </c>
      <c r="D35" s="361" t="s">
        <v>128</v>
      </c>
      <c r="E35" s="4"/>
      <c r="F35" s="366"/>
      <c r="G35" s="366"/>
      <c r="H35" s="366"/>
      <c r="I35" s="366"/>
      <c r="J35" s="366"/>
      <c r="K35" s="210">
        <f t="shared" ref="K35:R35" si="15">-K89</f>
        <v>0</v>
      </c>
      <c r="L35" s="210">
        <f t="shared" si="15"/>
        <v>0</v>
      </c>
      <c r="M35" s="210">
        <f t="shared" si="15"/>
        <v>0</v>
      </c>
      <c r="N35" s="210">
        <f t="shared" si="15"/>
        <v>0</v>
      </c>
      <c r="O35" s="210">
        <f t="shared" si="15"/>
        <v>0</v>
      </c>
      <c r="P35" s="210">
        <f t="shared" si="15"/>
        <v>0</v>
      </c>
      <c r="Q35" s="210">
        <f t="shared" si="15"/>
        <v>0</v>
      </c>
      <c r="R35" s="210">
        <f t="shared" si="15"/>
        <v>0</v>
      </c>
      <c r="T35" s="188">
        <f t="shared" si="0"/>
        <v>1</v>
      </c>
      <c r="U35" s="35">
        <v>1</v>
      </c>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row>
    <row r="36" spans="1:98" s="361" customFormat="1" ht="13.05" customHeight="1">
      <c r="A36" s="365"/>
      <c r="B36" s="364" t="s">
        <v>238</v>
      </c>
      <c r="C36" s="361" t="s">
        <v>129</v>
      </c>
      <c r="D36" s="361" t="s">
        <v>128</v>
      </c>
      <c r="F36" s="363"/>
      <c r="G36" s="363"/>
      <c r="H36" s="363"/>
      <c r="I36" s="363"/>
      <c r="J36" s="363"/>
      <c r="K36" s="317">
        <f>MAX(0,K62-K28-K34)</f>
        <v>0</v>
      </c>
      <c r="L36" s="317">
        <f t="shared" ref="L36:R36" si="16">MAX(0,L62-L28-L34)</f>
        <v>0</v>
      </c>
      <c r="M36" s="317">
        <f t="shared" si="16"/>
        <v>0</v>
      </c>
      <c r="N36" s="317">
        <f t="shared" si="16"/>
        <v>0</v>
      </c>
      <c r="O36" s="317">
        <f t="shared" si="16"/>
        <v>0</v>
      </c>
      <c r="P36" s="317">
        <f t="shared" si="16"/>
        <v>0</v>
      </c>
      <c r="Q36" s="317">
        <f t="shared" si="16"/>
        <v>0</v>
      </c>
      <c r="R36" s="317">
        <f t="shared" si="16"/>
        <v>0</v>
      </c>
      <c r="S36" s="362"/>
      <c r="T36" s="188">
        <f t="shared" si="0"/>
        <v>1</v>
      </c>
      <c r="U36" s="35">
        <v>1</v>
      </c>
    </row>
    <row r="37" spans="1:98" ht="13.05" customHeight="1">
      <c r="A37" s="187"/>
      <c r="B37" s="327" t="s">
        <v>237</v>
      </c>
      <c r="C37" s="4" t="s">
        <v>129</v>
      </c>
      <c r="D37" s="4" t="s">
        <v>128</v>
      </c>
      <c r="E37" s="4"/>
      <c r="F37" s="360"/>
      <c r="G37" s="360"/>
      <c r="H37" s="360"/>
      <c r="I37" s="360"/>
      <c r="J37" s="360"/>
      <c r="K37" s="210">
        <f t="shared" ref="K37:R37" si="17">-MIN(MAX(K28+K34-K62,0),SUM(K34:K36),K90)</f>
        <v>0</v>
      </c>
      <c r="L37" s="210">
        <f t="shared" si="17"/>
        <v>0</v>
      </c>
      <c r="M37" s="210">
        <f t="shared" si="17"/>
        <v>0</v>
      </c>
      <c r="N37" s="210">
        <f t="shared" si="17"/>
        <v>0</v>
      </c>
      <c r="O37" s="210">
        <f t="shared" si="17"/>
        <v>0</v>
      </c>
      <c r="P37" s="210">
        <f t="shared" si="17"/>
        <v>0</v>
      </c>
      <c r="Q37" s="210">
        <f t="shared" si="17"/>
        <v>0</v>
      </c>
      <c r="R37" s="210">
        <f t="shared" si="17"/>
        <v>0</v>
      </c>
      <c r="T37" s="188">
        <f t="shared" si="0"/>
        <v>1</v>
      </c>
      <c r="U37" s="35">
        <v>1</v>
      </c>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row>
    <row r="38" spans="1:98" ht="13.05" customHeight="1">
      <c r="A38" s="187"/>
      <c r="B38" s="329" t="s">
        <v>236</v>
      </c>
      <c r="C38" s="43" t="s">
        <v>129</v>
      </c>
      <c r="D38" s="43" t="s">
        <v>128</v>
      </c>
      <c r="E38" s="43"/>
      <c r="F38" s="359"/>
      <c r="G38" s="359"/>
      <c r="H38" s="359"/>
      <c r="I38" s="359"/>
      <c r="J38" s="359">
        <v>0</v>
      </c>
      <c r="K38" s="206">
        <f t="shared" ref="K38:R38" si="18">SUM(K34:K37)</f>
        <v>0</v>
      </c>
      <c r="L38" s="206">
        <f t="shared" si="18"/>
        <v>0</v>
      </c>
      <c r="M38" s="206">
        <f t="shared" si="18"/>
        <v>0</v>
      </c>
      <c r="N38" s="206">
        <f t="shared" si="18"/>
        <v>0</v>
      </c>
      <c r="O38" s="206">
        <f t="shared" si="18"/>
        <v>0</v>
      </c>
      <c r="P38" s="206">
        <f t="shared" si="18"/>
        <v>0</v>
      </c>
      <c r="Q38" s="206">
        <f t="shared" si="18"/>
        <v>0</v>
      </c>
      <c r="R38" s="206">
        <f t="shared" si="18"/>
        <v>0</v>
      </c>
      <c r="T38" s="188">
        <f t="shared" si="0"/>
        <v>1</v>
      </c>
      <c r="U38" s="35">
        <v>1</v>
      </c>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row>
    <row r="39" spans="1:98" ht="13.05" customHeight="1">
      <c r="A39" s="187"/>
      <c r="B39" s="316" t="s">
        <v>235</v>
      </c>
      <c r="C39" s="4" t="s">
        <v>125</v>
      </c>
      <c r="D39" s="4" t="s">
        <v>123</v>
      </c>
      <c r="E39" s="4"/>
      <c r="F39" s="357"/>
      <c r="G39" s="357"/>
      <c r="H39" s="357"/>
      <c r="I39" s="357"/>
      <c r="J39" s="357"/>
      <c r="K39" s="369"/>
      <c r="L39" s="369"/>
      <c r="M39" s="369"/>
      <c r="N39" s="369"/>
      <c r="O39" s="369"/>
      <c r="P39" s="369"/>
      <c r="Q39" s="369"/>
      <c r="R39" s="369"/>
      <c r="T39" s="188">
        <f t="shared" si="0"/>
        <v>1</v>
      </c>
      <c r="U39" s="35">
        <v>1</v>
      </c>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row>
    <row r="40" spans="1:98" ht="13.05" customHeight="1">
      <c r="A40" s="187"/>
      <c r="B40" s="316"/>
      <c r="C40" s="4"/>
      <c r="D40" s="4"/>
      <c r="E40" s="4"/>
      <c r="F40" s="4"/>
      <c r="G40" s="4"/>
      <c r="H40" s="4"/>
      <c r="I40" s="4"/>
      <c r="J40" s="4"/>
      <c r="K40" s="4"/>
      <c r="L40" s="4"/>
      <c r="M40" s="358"/>
      <c r="N40" s="358"/>
      <c r="O40" s="358"/>
      <c r="P40" s="358"/>
      <c r="Q40" s="358"/>
      <c r="R40" s="358"/>
      <c r="T40" s="188">
        <f t="shared" ref="T40:T71" si="19">IF(NOT(ISBLANK(B40)), 1, 0)</f>
        <v>0</v>
      </c>
      <c r="U40" s="35">
        <v>0</v>
      </c>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row>
    <row r="41" spans="1:98" ht="13.05" customHeight="1">
      <c r="A41" s="187"/>
      <c r="B41" s="316" t="s">
        <v>234</v>
      </c>
      <c r="D41" s="4"/>
      <c r="E41" s="4"/>
      <c r="F41" s="357"/>
      <c r="G41" s="357"/>
      <c r="H41" s="357"/>
      <c r="I41" s="357"/>
      <c r="J41" s="357"/>
      <c r="K41" s="210">
        <f t="shared" ref="K41:R41" si="20">K39*SUM(K34,K36)</f>
        <v>0</v>
      </c>
      <c r="L41" s="210">
        <f t="shared" si="20"/>
        <v>0</v>
      </c>
      <c r="M41" s="210">
        <f t="shared" si="20"/>
        <v>0</v>
      </c>
      <c r="N41" s="210">
        <f t="shared" si="20"/>
        <v>0</v>
      </c>
      <c r="O41" s="210">
        <f t="shared" si="20"/>
        <v>0</v>
      </c>
      <c r="P41" s="210">
        <f t="shared" si="20"/>
        <v>0</v>
      </c>
      <c r="Q41" s="210">
        <f t="shared" si="20"/>
        <v>0</v>
      </c>
      <c r="R41" s="210">
        <f t="shared" si="20"/>
        <v>0</v>
      </c>
      <c r="T41" s="188">
        <f t="shared" si="19"/>
        <v>1</v>
      </c>
      <c r="U41" s="35">
        <v>1</v>
      </c>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row>
    <row r="42" spans="1:98" ht="13.05" customHeight="1">
      <c r="A42" s="187"/>
      <c r="B42" s="329" t="s">
        <v>233</v>
      </c>
      <c r="C42" s="43" t="s">
        <v>129</v>
      </c>
      <c r="D42" s="43" t="s">
        <v>128</v>
      </c>
      <c r="E42" s="43"/>
      <c r="F42" s="356"/>
      <c r="G42" s="356"/>
      <c r="H42" s="356"/>
      <c r="I42" s="356"/>
      <c r="J42" s="356"/>
      <c r="K42" s="211">
        <f t="shared" ref="K42:R42" si="21">K39*SUM(K34,K36)</f>
        <v>0</v>
      </c>
      <c r="L42" s="211">
        <f t="shared" si="21"/>
        <v>0</v>
      </c>
      <c r="M42" s="211">
        <f t="shared" si="21"/>
        <v>0</v>
      </c>
      <c r="N42" s="211">
        <f t="shared" si="21"/>
        <v>0</v>
      </c>
      <c r="O42" s="211">
        <f t="shared" si="21"/>
        <v>0</v>
      </c>
      <c r="P42" s="211">
        <f t="shared" si="21"/>
        <v>0</v>
      </c>
      <c r="Q42" s="211">
        <f t="shared" si="21"/>
        <v>0</v>
      </c>
      <c r="R42" s="211">
        <f t="shared" si="21"/>
        <v>0</v>
      </c>
      <c r="T42" s="188">
        <f t="shared" si="19"/>
        <v>1</v>
      </c>
      <c r="U42" s="35">
        <v>1</v>
      </c>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row>
    <row r="43" spans="1:98" ht="7.05" customHeight="1">
      <c r="B43" s="165"/>
      <c r="C43" s="4"/>
      <c r="D43" s="4"/>
      <c r="E43" s="4"/>
      <c r="F43" s="4"/>
      <c r="G43" s="4"/>
      <c r="H43" s="4"/>
      <c r="I43" s="4"/>
      <c r="J43" s="4"/>
      <c r="K43" s="355"/>
      <c r="L43" s="355"/>
      <c r="M43" s="355"/>
      <c r="N43" s="355"/>
      <c r="O43" s="355"/>
      <c r="P43" s="355"/>
      <c r="Q43" s="355"/>
      <c r="R43" s="355"/>
      <c r="T43" s="188">
        <f t="shared" si="19"/>
        <v>0</v>
      </c>
      <c r="U43" s="35">
        <v>0</v>
      </c>
    </row>
    <row r="44" spans="1:98" ht="13.05" customHeight="1">
      <c r="B44" s="169" t="s">
        <v>232</v>
      </c>
      <c r="C44" s="4"/>
      <c r="D44" s="4"/>
      <c r="E44" s="4"/>
      <c r="F44" s="4"/>
      <c r="G44" s="4"/>
      <c r="H44" s="4"/>
      <c r="I44" s="4"/>
      <c r="J44" s="4"/>
      <c r="K44" s="355"/>
      <c r="L44" s="355"/>
      <c r="M44" s="355"/>
      <c r="N44" s="355"/>
      <c r="O44" s="355"/>
      <c r="P44" s="355"/>
      <c r="Q44" s="355"/>
      <c r="R44" s="355"/>
      <c r="T44" s="188">
        <f t="shared" si="19"/>
        <v>1</v>
      </c>
      <c r="U44" s="35">
        <v>1</v>
      </c>
    </row>
    <row r="45" spans="1:98" ht="13.05" customHeight="1">
      <c r="B45" s="169" t="s">
        <v>231</v>
      </c>
      <c r="C45" s="4"/>
      <c r="D45" s="4"/>
      <c r="E45" s="4"/>
      <c r="F45" s="4"/>
      <c r="G45" s="4"/>
      <c r="H45" s="4"/>
      <c r="I45" s="4"/>
      <c r="J45" s="4"/>
      <c r="K45" s="355"/>
      <c r="L45" s="355"/>
      <c r="M45" s="355"/>
      <c r="N45" s="355"/>
      <c r="O45" s="355"/>
      <c r="P45" s="355"/>
      <c r="Q45" s="355"/>
      <c r="R45" s="355"/>
      <c r="T45" s="188">
        <f t="shared" si="19"/>
        <v>1</v>
      </c>
      <c r="U45" s="35">
        <v>1</v>
      </c>
    </row>
    <row r="46" spans="1:98" ht="13.05" customHeight="1">
      <c r="B46" s="169"/>
      <c r="C46" s="4"/>
      <c r="D46" s="4"/>
      <c r="E46" s="4"/>
      <c r="F46" s="4"/>
      <c r="G46" s="4"/>
      <c r="H46" s="4"/>
      <c r="I46" s="4"/>
      <c r="J46" s="4"/>
      <c r="K46" s="355"/>
      <c r="L46" s="355"/>
      <c r="M46" s="355"/>
      <c r="N46" s="355"/>
      <c r="O46" s="355"/>
      <c r="P46" s="355"/>
      <c r="Q46" s="355"/>
      <c r="R46" s="355"/>
      <c r="T46" s="188">
        <f t="shared" si="19"/>
        <v>0</v>
      </c>
      <c r="U46" s="35">
        <v>0</v>
      </c>
    </row>
    <row r="47" spans="1:98">
      <c r="B47" s="730" t="s">
        <v>230</v>
      </c>
      <c r="C47" s="731"/>
      <c r="D47" s="731"/>
      <c r="E47" s="731"/>
      <c r="F47" s="732"/>
      <c r="G47" s="732"/>
      <c r="H47" s="732"/>
      <c r="I47" s="732"/>
      <c r="J47" s="732"/>
      <c r="K47" s="732"/>
      <c r="L47" s="732"/>
      <c r="M47" s="732"/>
      <c r="N47" s="732"/>
      <c r="O47" s="732"/>
      <c r="P47" s="732"/>
      <c r="Q47" s="732"/>
      <c r="R47" s="732"/>
      <c r="S47" s="7"/>
      <c r="T47" s="188">
        <f t="shared" si="19"/>
        <v>1</v>
      </c>
      <c r="U47" s="35">
        <v>1</v>
      </c>
    </row>
    <row r="48" spans="1:98" s="2" customFormat="1" ht="13.05" customHeight="1">
      <c r="A48" s="24"/>
      <c r="B48" s="24"/>
      <c r="C48" s="24"/>
      <c r="D48" s="24"/>
      <c r="E48" s="24"/>
      <c r="F48" s="277"/>
      <c r="G48" s="277"/>
      <c r="H48" s="277"/>
      <c r="I48" s="277"/>
      <c r="J48" s="277"/>
      <c r="K48" s="276" t="s">
        <v>174</v>
      </c>
      <c r="L48" s="275"/>
      <c r="M48" s="275"/>
      <c r="N48" s="275"/>
      <c r="O48" s="275"/>
      <c r="P48" s="275"/>
      <c r="Q48" s="275"/>
      <c r="R48" s="275"/>
      <c r="T48" s="188">
        <f t="shared" si="19"/>
        <v>0</v>
      </c>
      <c r="U48" s="35">
        <v>0</v>
      </c>
    </row>
    <row r="49" spans="1:258" s="2" customFormat="1" ht="13.05" customHeight="1" thickBot="1">
      <c r="A49" s="4"/>
      <c r="B49" s="299"/>
      <c r="C49" s="274" t="str">
        <f>+C$7</f>
        <v>Unit</v>
      </c>
      <c r="D49" s="274" t="str">
        <f>+D$7</f>
        <v>Type</v>
      </c>
      <c r="E49" s="94"/>
      <c r="F49" s="274">
        <f t="shared" ref="F49:R49" si="22">+F$7</f>
        <v>2014</v>
      </c>
      <c r="G49" s="274">
        <f t="shared" si="22"/>
        <v>2015</v>
      </c>
      <c r="H49" s="274">
        <f t="shared" si="22"/>
        <v>2016</v>
      </c>
      <c r="I49" s="274">
        <f t="shared" si="22"/>
        <v>2017</v>
      </c>
      <c r="J49" s="274">
        <f t="shared" si="22"/>
        <v>2018</v>
      </c>
      <c r="K49" s="274">
        <f t="shared" si="22"/>
        <v>2019</v>
      </c>
      <c r="L49" s="274">
        <f t="shared" si="22"/>
        <v>2020</v>
      </c>
      <c r="M49" s="274">
        <f t="shared" si="22"/>
        <v>2021</v>
      </c>
      <c r="N49" s="274">
        <f t="shared" si="22"/>
        <v>2022</v>
      </c>
      <c r="O49" s="274">
        <f t="shared" si="22"/>
        <v>2023</v>
      </c>
      <c r="P49" s="274">
        <f t="shared" si="22"/>
        <v>2024</v>
      </c>
      <c r="Q49" s="274">
        <f t="shared" si="22"/>
        <v>2025</v>
      </c>
      <c r="R49" s="274">
        <f t="shared" si="22"/>
        <v>2026</v>
      </c>
      <c r="S49" s="52"/>
      <c r="T49" s="188">
        <f t="shared" si="19"/>
        <v>0</v>
      </c>
      <c r="U49" s="35">
        <v>0</v>
      </c>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c r="BZ49" s="52"/>
      <c r="CA49" s="52"/>
      <c r="CB49" s="52"/>
      <c r="CC49" s="52"/>
      <c r="CD49" s="52"/>
      <c r="CE49" s="52"/>
      <c r="CF49" s="52"/>
      <c r="CG49" s="52"/>
      <c r="CH49" s="52"/>
      <c r="CI49" s="52"/>
      <c r="CJ49" s="52"/>
      <c r="CK49" s="52"/>
      <c r="CL49" s="52"/>
      <c r="CM49" s="52"/>
      <c r="CN49" s="52"/>
      <c r="CO49" s="52"/>
      <c r="CP49" s="52"/>
      <c r="CQ49" s="52"/>
      <c r="CR49" s="52"/>
      <c r="CS49" s="52"/>
      <c r="CT49" s="52"/>
      <c r="CU49" s="52"/>
      <c r="CV49" s="52"/>
      <c r="CW49" s="52"/>
      <c r="CX49" s="52"/>
      <c r="CY49" s="52"/>
      <c r="CZ49" s="52"/>
      <c r="DA49" s="52"/>
      <c r="DB49" s="52"/>
      <c r="DC49" s="52"/>
      <c r="DD49" s="52"/>
      <c r="DE49" s="52"/>
      <c r="DF49" s="52"/>
      <c r="DG49" s="52"/>
      <c r="DH49" s="52"/>
      <c r="DI49" s="52"/>
      <c r="DJ49" s="52"/>
      <c r="DK49" s="52"/>
      <c r="DL49" s="52"/>
      <c r="DM49" s="52"/>
      <c r="DN49" s="52"/>
      <c r="DO49" s="52"/>
      <c r="DP49" s="52"/>
      <c r="DQ49" s="52"/>
      <c r="DR49" s="52"/>
      <c r="DS49" s="52"/>
      <c r="DT49" s="52"/>
      <c r="DU49" s="52"/>
      <c r="DV49" s="52"/>
      <c r="DW49" s="52"/>
      <c r="DX49" s="52"/>
      <c r="DY49" s="52"/>
      <c r="DZ49" s="52"/>
      <c r="EA49" s="52"/>
      <c r="EB49" s="52"/>
      <c r="EC49" s="52"/>
      <c r="ED49" s="52"/>
      <c r="EE49" s="52"/>
      <c r="EF49" s="52"/>
      <c r="EG49" s="52"/>
      <c r="EH49" s="52"/>
      <c r="EI49" s="52"/>
      <c r="EJ49" s="52"/>
      <c r="EK49" s="52"/>
      <c r="EL49" s="52"/>
      <c r="EM49" s="52"/>
      <c r="EN49" s="52"/>
      <c r="EO49" s="52"/>
      <c r="EP49" s="52"/>
      <c r="EQ49" s="52"/>
      <c r="ER49" s="52"/>
      <c r="ES49" s="52"/>
      <c r="ET49" s="52"/>
      <c r="EU49" s="52"/>
      <c r="EV49" s="52"/>
      <c r="EW49" s="52"/>
      <c r="EX49" s="52"/>
      <c r="EY49" s="52"/>
      <c r="EZ49" s="52"/>
      <c r="FA49" s="52"/>
      <c r="FB49" s="52"/>
      <c r="FC49" s="52"/>
      <c r="FD49" s="52"/>
      <c r="FE49" s="52"/>
      <c r="FF49" s="52"/>
      <c r="FG49" s="52"/>
      <c r="FH49" s="52"/>
      <c r="FI49" s="52"/>
      <c r="FJ49" s="52"/>
      <c r="FK49" s="52"/>
      <c r="FL49" s="52"/>
      <c r="FM49" s="52"/>
      <c r="FN49" s="52"/>
      <c r="FO49" s="52"/>
      <c r="FP49" s="52"/>
      <c r="FQ49" s="52"/>
      <c r="FR49" s="52"/>
      <c r="FS49" s="52"/>
      <c r="FT49" s="52"/>
      <c r="FU49" s="52"/>
      <c r="FV49" s="52"/>
      <c r="FW49" s="52"/>
      <c r="FX49" s="52"/>
      <c r="FY49" s="52"/>
      <c r="FZ49" s="52"/>
      <c r="GA49" s="52"/>
      <c r="GB49" s="52"/>
      <c r="GC49" s="52"/>
      <c r="GD49" s="52"/>
      <c r="GE49" s="52"/>
      <c r="GF49" s="52"/>
      <c r="GG49" s="52"/>
      <c r="GH49" s="52"/>
      <c r="GI49" s="52"/>
      <c r="GJ49" s="52"/>
      <c r="GK49" s="52"/>
      <c r="GL49" s="52"/>
      <c r="GM49" s="52"/>
      <c r="GN49" s="52"/>
      <c r="GO49" s="52"/>
      <c r="GP49" s="52"/>
      <c r="GQ49" s="52"/>
      <c r="GR49" s="52"/>
      <c r="GS49" s="52"/>
      <c r="GT49" s="52"/>
      <c r="GU49" s="52"/>
      <c r="GV49" s="52"/>
      <c r="GW49" s="52"/>
      <c r="GX49" s="52"/>
      <c r="GY49" s="52"/>
      <c r="GZ49" s="52"/>
      <c r="HA49" s="52"/>
      <c r="HB49" s="52"/>
      <c r="HC49" s="52"/>
      <c r="HD49" s="52"/>
      <c r="HE49" s="52"/>
      <c r="HF49" s="52"/>
      <c r="HG49" s="52"/>
      <c r="HH49" s="52"/>
      <c r="HI49" s="52"/>
      <c r="HJ49" s="52"/>
      <c r="HK49" s="52"/>
      <c r="HL49" s="52"/>
      <c r="HM49" s="52"/>
      <c r="HN49" s="52"/>
      <c r="HO49" s="52"/>
      <c r="HP49" s="52"/>
      <c r="HQ49" s="52"/>
      <c r="HR49" s="52"/>
      <c r="HS49" s="52"/>
      <c r="HT49" s="52"/>
      <c r="HU49" s="52"/>
      <c r="HV49" s="52"/>
      <c r="HW49" s="52"/>
      <c r="HX49" s="52"/>
      <c r="HY49" s="52"/>
      <c r="HZ49" s="52"/>
      <c r="IA49" s="52"/>
      <c r="IB49" s="52"/>
      <c r="IC49" s="52"/>
      <c r="ID49" s="52"/>
      <c r="IE49" s="52"/>
      <c r="IF49" s="52"/>
      <c r="IG49" s="52"/>
      <c r="IH49" s="52"/>
      <c r="II49" s="52"/>
      <c r="IJ49" s="52"/>
      <c r="IK49" s="52"/>
      <c r="IL49" s="52"/>
      <c r="IM49" s="52"/>
      <c r="IN49" s="52"/>
      <c r="IO49" s="52"/>
      <c r="IP49" s="52"/>
      <c r="IQ49" s="52"/>
      <c r="IR49" s="52"/>
      <c r="IS49" s="52"/>
      <c r="IT49" s="52"/>
      <c r="IU49" s="52"/>
      <c r="IV49" s="52"/>
      <c r="IW49" s="52"/>
    </row>
    <row r="50" spans="1:258" ht="13.05" customHeight="1">
      <c r="A50" s="187"/>
      <c r="B50" s="313" t="s">
        <v>229</v>
      </c>
      <c r="C50" s="62"/>
      <c r="D50" s="62"/>
      <c r="E50" s="62"/>
      <c r="F50" s="62"/>
      <c r="G50" s="62"/>
      <c r="H50" s="62"/>
      <c r="I50" s="62"/>
      <c r="J50" s="312"/>
      <c r="K50" s="199"/>
      <c r="L50" s="199"/>
      <c r="M50" s="199"/>
      <c r="N50" s="199"/>
      <c r="O50" s="199"/>
      <c r="P50" s="199"/>
      <c r="Q50" s="199"/>
      <c r="R50" s="199"/>
      <c r="T50" s="188">
        <f t="shared" si="19"/>
        <v>1</v>
      </c>
      <c r="U50" s="35">
        <v>1</v>
      </c>
    </row>
    <row r="51" spans="1:258" s="7" customFormat="1" ht="13.05" customHeight="1">
      <c r="A51" s="90"/>
      <c r="B51" s="169" t="s">
        <v>228</v>
      </c>
      <c r="C51" s="4" t="s">
        <v>227</v>
      </c>
      <c r="D51" s="4" t="s">
        <v>184</v>
      </c>
      <c r="E51" s="4"/>
      <c r="F51" s="331"/>
      <c r="G51" s="347">
        <f>G56/G57</f>
        <v>-0.26462655601659729</v>
      </c>
      <c r="H51" s="347">
        <f>H56/H57</f>
        <v>0.16642798690671026</v>
      </c>
      <c r="I51" s="347">
        <f>I56/I57</f>
        <v>-0.86456127428413598</v>
      </c>
      <c r="J51" s="347">
        <f>J56/J57</f>
        <v>0.42752549463958855</v>
      </c>
      <c r="K51" s="354">
        <v>1</v>
      </c>
      <c r="L51" s="354">
        <v>1</v>
      </c>
      <c r="M51" s="354">
        <v>1</v>
      </c>
      <c r="N51" s="354">
        <v>1</v>
      </c>
      <c r="O51" s="354">
        <v>1</v>
      </c>
      <c r="P51" s="354">
        <v>1</v>
      </c>
      <c r="Q51" s="354">
        <v>1</v>
      </c>
      <c r="R51" s="354">
        <v>1</v>
      </c>
      <c r="T51" s="188">
        <f t="shared" si="19"/>
        <v>1</v>
      </c>
      <c r="U51" s="35">
        <v>1</v>
      </c>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row>
    <row r="52" spans="1:258" s="7" customFormat="1" ht="13.05" customHeight="1">
      <c r="A52" s="90"/>
      <c r="B52" s="169" t="s">
        <v>226</v>
      </c>
      <c r="C52" s="4" t="s">
        <v>129</v>
      </c>
      <c r="D52" s="4" t="s">
        <v>128</v>
      </c>
      <c r="E52" s="4"/>
      <c r="F52" s="331"/>
      <c r="G52" s="347">
        <f t="shared" ref="G52:J52" si="23">G56/G57</f>
        <v>-0.26462655601659729</v>
      </c>
      <c r="H52" s="347">
        <f t="shared" si="23"/>
        <v>0.16642798690671026</v>
      </c>
      <c r="I52" s="347">
        <f t="shared" si="23"/>
        <v>-0.86456127428413598</v>
      </c>
      <c r="J52" s="347">
        <f t="shared" si="23"/>
        <v>0.42752549463958855</v>
      </c>
      <c r="K52" s="353">
        <f>IFERROR(K56/K57,0)</f>
        <v>0</v>
      </c>
      <c r="L52" s="353">
        <f t="shared" ref="L52:R52" si="24">IFERROR(L56/L57,0)</f>
        <v>0</v>
      </c>
      <c r="M52" s="353">
        <f t="shared" si="24"/>
        <v>0</v>
      </c>
      <c r="N52" s="353">
        <f t="shared" si="24"/>
        <v>0</v>
      </c>
      <c r="O52" s="353">
        <f t="shared" si="24"/>
        <v>0</v>
      </c>
      <c r="P52" s="353">
        <f t="shared" si="24"/>
        <v>0</v>
      </c>
      <c r="Q52" s="353">
        <f t="shared" si="24"/>
        <v>0</v>
      </c>
      <c r="R52" s="353">
        <f t="shared" si="24"/>
        <v>0</v>
      </c>
      <c r="T52" s="188">
        <f t="shared" si="19"/>
        <v>1</v>
      </c>
      <c r="U52" s="35">
        <v>1</v>
      </c>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c r="IW52" s="4"/>
      <c r="IX52" s="4"/>
    </row>
    <row r="53" spans="1:258" s="2" customFormat="1" ht="13.05" customHeight="1">
      <c r="A53" s="187"/>
      <c r="B53" s="352" t="s">
        <v>225</v>
      </c>
      <c r="C53" s="351" t="s">
        <v>129</v>
      </c>
      <c r="D53" s="351" t="s">
        <v>128</v>
      </c>
      <c r="E53" s="351"/>
      <c r="F53" s="350"/>
      <c r="G53" s="349">
        <f t="shared" ref="G53:R53" si="25">IFERROR(G57/G59,0)</f>
        <v>150.62500000000006</v>
      </c>
      <c r="H53" s="349">
        <f t="shared" si="25"/>
        <v>36.342007434944264</v>
      </c>
      <c r="I53" s="349">
        <f t="shared" si="25"/>
        <v>38.242957746478872</v>
      </c>
      <c r="J53" s="349">
        <f t="shared" si="25"/>
        <v>15.504054054054057</v>
      </c>
      <c r="K53" s="348">
        <f t="shared" si="25"/>
        <v>0</v>
      </c>
      <c r="L53" s="348">
        <f t="shared" si="25"/>
        <v>0</v>
      </c>
      <c r="M53" s="348">
        <f t="shared" si="25"/>
        <v>0</v>
      </c>
      <c r="N53" s="348">
        <f t="shared" si="25"/>
        <v>0</v>
      </c>
      <c r="O53" s="348">
        <f t="shared" si="25"/>
        <v>0</v>
      </c>
      <c r="P53" s="348">
        <f t="shared" si="25"/>
        <v>0</v>
      </c>
      <c r="Q53" s="348">
        <f t="shared" si="25"/>
        <v>0</v>
      </c>
      <c r="R53" s="348">
        <f t="shared" si="25"/>
        <v>0</v>
      </c>
      <c r="T53" s="188">
        <f t="shared" si="19"/>
        <v>1</v>
      </c>
      <c r="U53" s="35">
        <v>1</v>
      </c>
      <c r="CU53" s="24"/>
      <c r="CV53" s="24"/>
      <c r="CW53" s="24"/>
      <c r="CX53" s="24"/>
      <c r="CY53" s="24"/>
      <c r="CZ53" s="24"/>
      <c r="DA53" s="24"/>
      <c r="DB53" s="24"/>
      <c r="DC53" s="24"/>
      <c r="DD53" s="24"/>
      <c r="DE53" s="24"/>
      <c r="DF53" s="24"/>
      <c r="DG53" s="24"/>
      <c r="DH53" s="24"/>
      <c r="DI53" s="24"/>
      <c r="DJ53" s="24"/>
      <c r="DK53" s="24"/>
      <c r="DL53" s="24"/>
      <c r="DM53" s="24"/>
      <c r="DN53" s="24"/>
      <c r="DO53" s="24"/>
      <c r="DP53" s="24"/>
      <c r="DQ53" s="24"/>
      <c r="DR53" s="24"/>
      <c r="DS53" s="24"/>
      <c r="DT53" s="24"/>
      <c r="DU53" s="24"/>
      <c r="DV53" s="24"/>
      <c r="DW53" s="24"/>
      <c r="DX53" s="24"/>
      <c r="DY53" s="24"/>
      <c r="DZ53" s="24"/>
      <c r="EA53" s="24"/>
      <c r="EB53" s="24"/>
      <c r="EC53" s="24"/>
      <c r="ED53" s="24"/>
      <c r="EE53" s="24"/>
      <c r="EF53" s="24"/>
      <c r="EG53" s="24"/>
      <c r="EH53" s="24"/>
      <c r="EI53" s="24"/>
      <c r="EJ53" s="24"/>
      <c r="EK53" s="24"/>
      <c r="EL53" s="24"/>
      <c r="EM53" s="24"/>
      <c r="EN53" s="24"/>
      <c r="EO53" s="24"/>
      <c r="EP53" s="24"/>
      <c r="EQ53" s="24"/>
      <c r="ER53" s="24"/>
      <c r="ES53" s="24"/>
      <c r="ET53" s="24"/>
      <c r="EU53" s="24"/>
      <c r="EV53" s="24"/>
      <c r="EW53" s="24"/>
      <c r="EX53" s="24"/>
      <c r="EY53" s="24"/>
      <c r="EZ53" s="24"/>
      <c r="FA53" s="24"/>
      <c r="FB53" s="24"/>
      <c r="FC53" s="24"/>
      <c r="FD53" s="24"/>
      <c r="FE53" s="24"/>
      <c r="FF53" s="24"/>
      <c r="FG53" s="24"/>
      <c r="FH53" s="24"/>
      <c r="FI53" s="24"/>
      <c r="FJ53" s="24"/>
      <c r="FK53" s="24"/>
      <c r="FL53" s="24"/>
      <c r="FM53" s="24"/>
      <c r="FN53" s="24"/>
      <c r="FO53" s="24"/>
      <c r="FP53" s="24"/>
      <c r="FQ53" s="24"/>
      <c r="FR53" s="24"/>
      <c r="FS53" s="24"/>
      <c r="FT53" s="24"/>
      <c r="FU53" s="24"/>
      <c r="FV53" s="24"/>
      <c r="FW53" s="24"/>
      <c r="FX53" s="24"/>
      <c r="FY53" s="24"/>
      <c r="FZ53" s="24"/>
      <c r="GA53" s="24"/>
      <c r="GB53" s="24"/>
      <c r="GC53" s="24"/>
      <c r="GD53" s="24"/>
      <c r="GE53" s="24"/>
      <c r="GF53" s="24"/>
      <c r="GG53" s="24"/>
      <c r="GH53" s="24"/>
      <c r="GI53" s="24"/>
      <c r="GJ53" s="24"/>
      <c r="GK53" s="24"/>
      <c r="GL53" s="24"/>
      <c r="GM53" s="24"/>
      <c r="GN53" s="24"/>
      <c r="GO53" s="24"/>
      <c r="GP53" s="24"/>
      <c r="GQ53" s="24"/>
      <c r="GR53" s="24"/>
      <c r="GS53" s="24"/>
      <c r="GT53" s="24"/>
      <c r="GU53" s="24"/>
      <c r="GV53" s="24"/>
      <c r="GW53" s="24"/>
      <c r="GX53" s="24"/>
      <c r="GY53" s="24"/>
      <c r="GZ53" s="24"/>
      <c r="HA53" s="24"/>
      <c r="HB53" s="24"/>
      <c r="HC53" s="24"/>
      <c r="HD53" s="24"/>
      <c r="HE53" s="24"/>
      <c r="HF53" s="24"/>
      <c r="HG53" s="24"/>
      <c r="HH53" s="24"/>
      <c r="HI53" s="24"/>
      <c r="HJ53" s="24"/>
      <c r="HK53" s="24"/>
      <c r="HL53" s="24"/>
      <c r="HM53" s="24"/>
      <c r="HN53" s="24"/>
      <c r="HO53" s="24"/>
      <c r="HP53" s="24"/>
      <c r="HQ53" s="24"/>
      <c r="HR53" s="24"/>
      <c r="HS53" s="24"/>
      <c r="HT53" s="24"/>
      <c r="HU53" s="24"/>
      <c r="HV53" s="24"/>
      <c r="HW53" s="24"/>
      <c r="HX53" s="24"/>
      <c r="HY53" s="24"/>
      <c r="HZ53" s="24"/>
      <c r="IA53" s="24"/>
      <c r="IB53" s="24"/>
      <c r="IC53" s="24"/>
      <c r="ID53" s="24"/>
      <c r="IE53" s="24"/>
      <c r="IF53" s="24"/>
      <c r="IG53" s="24"/>
      <c r="IH53" s="24"/>
      <c r="II53" s="24"/>
      <c r="IJ53" s="24"/>
      <c r="IK53" s="24"/>
      <c r="IL53" s="24"/>
      <c r="IM53" s="24"/>
      <c r="IN53" s="24"/>
      <c r="IO53" s="24"/>
      <c r="IP53" s="24"/>
      <c r="IQ53" s="24"/>
      <c r="IR53" s="24"/>
      <c r="IS53" s="24"/>
      <c r="IT53" s="24"/>
      <c r="IU53" s="24"/>
      <c r="IV53" s="24"/>
      <c r="IW53" s="24"/>
      <c r="IX53" s="24"/>
    </row>
    <row r="54" spans="1:258" s="7" customFormat="1" ht="13.05" customHeight="1">
      <c r="A54" s="90"/>
      <c r="B54" s="169" t="s">
        <v>224</v>
      </c>
      <c r="C54" s="4" t="s">
        <v>129</v>
      </c>
      <c r="D54" s="4" t="s">
        <v>128</v>
      </c>
      <c r="E54" s="4"/>
      <c r="F54" s="331"/>
      <c r="G54" s="347">
        <f t="shared" ref="G54:J54" si="26">IF(OR(G58&lt;0,G56&lt;0),0,G56/G58)</f>
        <v>0</v>
      </c>
      <c r="H54" s="347">
        <f t="shared" si="26"/>
        <v>0.16642798690671026</v>
      </c>
      <c r="I54" s="347">
        <f t="shared" si="26"/>
        <v>0</v>
      </c>
      <c r="J54" s="347">
        <f t="shared" si="26"/>
        <v>0.42752549463958855</v>
      </c>
      <c r="K54" s="346">
        <f>IFERROR(IF(OR(K58&lt;0,K56&lt;0),0,K56/K58),0)</f>
        <v>0</v>
      </c>
      <c r="L54" s="346">
        <f t="shared" ref="L54:R54" si="27">IFERROR(IF(OR(L58&lt;0,L56&lt;0),0,L56/L58),0)</f>
        <v>0</v>
      </c>
      <c r="M54" s="346">
        <f t="shared" si="27"/>
        <v>0</v>
      </c>
      <c r="N54" s="346">
        <f t="shared" si="27"/>
        <v>0</v>
      </c>
      <c r="O54" s="346">
        <f t="shared" si="27"/>
        <v>0</v>
      </c>
      <c r="P54" s="346">
        <f t="shared" si="27"/>
        <v>0</v>
      </c>
      <c r="Q54" s="346">
        <f t="shared" si="27"/>
        <v>0</v>
      </c>
      <c r="R54" s="346">
        <f t="shared" si="27"/>
        <v>0</v>
      </c>
      <c r="T54" s="188">
        <f t="shared" si="19"/>
        <v>1</v>
      </c>
      <c r="U54" s="35">
        <v>1</v>
      </c>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row>
    <row r="55" spans="1:258" s="2" customFormat="1" ht="13.05" customHeight="1">
      <c r="A55" s="187"/>
      <c r="B55" s="227" t="s">
        <v>223</v>
      </c>
      <c r="C55" s="132" t="s">
        <v>129</v>
      </c>
      <c r="D55" s="132" t="s">
        <v>128</v>
      </c>
      <c r="E55" s="132"/>
      <c r="F55" s="342"/>
      <c r="G55" s="345">
        <f t="shared" ref="G55:J55" si="28">IF(G58&lt;0,0,G58/G59)</f>
        <v>150.62500000000006</v>
      </c>
      <c r="H55" s="345">
        <f t="shared" si="28"/>
        <v>36.342007434944264</v>
      </c>
      <c r="I55" s="345">
        <f t="shared" si="28"/>
        <v>38.242957746478872</v>
      </c>
      <c r="J55" s="345">
        <f t="shared" si="28"/>
        <v>15.504054054054057</v>
      </c>
      <c r="K55" s="344">
        <f>IFERROR(IF(K58&lt;0,0,K58/K59),0)</f>
        <v>0</v>
      </c>
      <c r="L55" s="344">
        <f t="shared" ref="L55:R55" si="29">IFERROR(IF(L58&lt;0,0,L58/L59),0)</f>
        <v>0</v>
      </c>
      <c r="M55" s="344">
        <f t="shared" si="29"/>
        <v>0</v>
      </c>
      <c r="N55" s="344">
        <f t="shared" si="29"/>
        <v>0</v>
      </c>
      <c r="O55" s="344">
        <f t="shared" si="29"/>
        <v>0</v>
      </c>
      <c r="P55" s="344">
        <f t="shared" si="29"/>
        <v>0</v>
      </c>
      <c r="Q55" s="344">
        <f t="shared" si="29"/>
        <v>0</v>
      </c>
      <c r="R55" s="344">
        <f t="shared" si="29"/>
        <v>0</v>
      </c>
      <c r="T55" s="188">
        <f t="shared" si="19"/>
        <v>1</v>
      </c>
      <c r="U55" s="35">
        <v>1</v>
      </c>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row>
    <row r="56" spans="1:258" s="2" customFormat="1" ht="13.05" customHeight="1">
      <c r="A56" s="187"/>
      <c r="B56" s="169" t="s">
        <v>222</v>
      </c>
      <c r="C56" s="4" t="s">
        <v>129</v>
      </c>
      <c r="D56" s="4" t="s">
        <v>128</v>
      </c>
      <c r="E56" s="4"/>
      <c r="F56" s="288"/>
      <c r="G56" s="288">
        <f t="shared" ref="G56:R56" si="30">G17</f>
        <v>-255.09999999999991</v>
      </c>
      <c r="H56" s="288">
        <f t="shared" si="30"/>
        <v>162.70000000000005</v>
      </c>
      <c r="I56" s="288">
        <f t="shared" si="30"/>
        <v>-939</v>
      </c>
      <c r="J56" s="288">
        <f t="shared" si="30"/>
        <v>490.5</v>
      </c>
      <c r="K56" s="343">
        <f t="shared" si="30"/>
        <v>1733.9</v>
      </c>
      <c r="L56" s="343">
        <f t="shared" si="30"/>
        <v>1733.9</v>
      </c>
      <c r="M56" s="343">
        <f t="shared" si="30"/>
        <v>1733.9</v>
      </c>
      <c r="N56" s="343">
        <f t="shared" si="30"/>
        <v>1733.9</v>
      </c>
      <c r="O56" s="343">
        <f t="shared" si="30"/>
        <v>1733.9</v>
      </c>
      <c r="P56" s="343">
        <f t="shared" si="30"/>
        <v>1733.9</v>
      </c>
      <c r="Q56" s="343">
        <f t="shared" si="30"/>
        <v>1733.9</v>
      </c>
      <c r="R56" s="343">
        <f t="shared" si="30"/>
        <v>1733.9</v>
      </c>
      <c r="T56" s="188">
        <f t="shared" si="19"/>
        <v>1</v>
      </c>
      <c r="U56" s="35">
        <v>1</v>
      </c>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row>
    <row r="57" spans="1:258" s="2" customFormat="1" ht="13.05" customHeight="1">
      <c r="A57" s="187"/>
      <c r="B57" s="169" t="s">
        <v>59</v>
      </c>
      <c r="C57" s="4" t="s">
        <v>129</v>
      </c>
      <c r="D57" s="4" t="s">
        <v>128</v>
      </c>
      <c r="E57" s="4"/>
      <c r="F57" s="288"/>
      <c r="G57" s="288">
        <f>'DCF - Financials'!G34</f>
        <v>964.00000000000045</v>
      </c>
      <c r="H57" s="288">
        <f>'DCF - Financials'!H34</f>
        <v>977.60000000000059</v>
      </c>
      <c r="I57" s="288">
        <f>'DCF - Financials'!I34</f>
        <v>1086.0999999999999</v>
      </c>
      <c r="J57" s="288">
        <f>'DCF - Financials'!J34</f>
        <v>1147.3000000000002</v>
      </c>
      <c r="K57" s="343">
        <f>'DCF - Financials'!K34</f>
        <v>0</v>
      </c>
      <c r="L57" s="343">
        <f>'DCF - Financials'!L34</f>
        <v>0</v>
      </c>
      <c r="M57" s="343">
        <f>'DCF - Financials'!M34</f>
        <v>0</v>
      </c>
      <c r="N57" s="343">
        <f>'DCF - Financials'!N34</f>
        <v>0</v>
      </c>
      <c r="O57" s="343">
        <f>'DCF - Financials'!O34</f>
        <v>0</v>
      </c>
      <c r="P57" s="343">
        <f>'DCF - Financials'!P34</f>
        <v>0</v>
      </c>
      <c r="Q57" s="343">
        <f>'DCF - Financials'!Q34</f>
        <v>0</v>
      </c>
      <c r="R57" s="343">
        <f>'DCF - Financials'!R34</f>
        <v>0</v>
      </c>
      <c r="T57" s="188">
        <f t="shared" si="19"/>
        <v>1</v>
      </c>
      <c r="U57" s="35">
        <v>1</v>
      </c>
      <c r="CU57" s="24"/>
      <c r="CV57" s="24"/>
      <c r="CW57" s="24"/>
      <c r="CX57" s="24"/>
      <c r="CY57" s="24"/>
      <c r="CZ57" s="24"/>
      <c r="DA57" s="24"/>
      <c r="DB57" s="24"/>
      <c r="DC57" s="24"/>
      <c r="DD57" s="24"/>
      <c r="DE57" s="24"/>
      <c r="DF57" s="24"/>
      <c r="DG57" s="24"/>
      <c r="DH57" s="24"/>
      <c r="DI57" s="24"/>
      <c r="DJ57" s="24"/>
      <c r="DK57" s="24"/>
      <c r="DL57" s="24"/>
      <c r="DM57" s="24"/>
      <c r="DN57" s="24"/>
      <c r="DO57" s="24"/>
      <c r="DP57" s="24"/>
      <c r="DQ57" s="24"/>
      <c r="DR57" s="24"/>
      <c r="DS57" s="24"/>
      <c r="DT57" s="24"/>
      <c r="DU57" s="24"/>
      <c r="DV57" s="24"/>
      <c r="DW57" s="24"/>
      <c r="DX57" s="24"/>
      <c r="DY57" s="24"/>
      <c r="DZ57" s="24"/>
      <c r="EA57" s="24"/>
      <c r="EB57" s="24"/>
      <c r="EC57" s="24"/>
      <c r="ED57" s="24"/>
      <c r="EE57" s="24"/>
      <c r="EF57" s="24"/>
      <c r="EG57" s="24"/>
      <c r="EH57" s="24"/>
      <c r="EI57" s="24"/>
      <c r="EJ57" s="24"/>
      <c r="EK57" s="24"/>
      <c r="EL57" s="24"/>
      <c r="EM57" s="24"/>
      <c r="EN57" s="24"/>
      <c r="EO57" s="24"/>
      <c r="EP57" s="24"/>
      <c r="EQ57" s="24"/>
      <c r="ER57" s="24"/>
      <c r="ES57" s="24"/>
      <c r="ET57" s="24"/>
      <c r="EU57" s="24"/>
      <c r="EV57" s="24"/>
      <c r="EW57" s="24"/>
      <c r="EX57" s="24"/>
      <c r="EY57" s="24"/>
      <c r="EZ57" s="24"/>
      <c r="FA57" s="24"/>
      <c r="FB57" s="24"/>
      <c r="FC57" s="24"/>
      <c r="FD57" s="24"/>
      <c r="FE57" s="24"/>
      <c r="FF57" s="24"/>
      <c r="FG57" s="24"/>
      <c r="FH57" s="24"/>
      <c r="FI57" s="24"/>
      <c r="FJ57" s="24"/>
      <c r="FK57" s="24"/>
      <c r="FL57" s="24"/>
      <c r="FM57" s="24"/>
      <c r="FN57" s="24"/>
      <c r="FO57" s="24"/>
      <c r="FP57" s="24"/>
      <c r="FQ57" s="24"/>
      <c r="FR57" s="24"/>
      <c r="FS57" s="24"/>
      <c r="FT57" s="24"/>
      <c r="FU57" s="24"/>
      <c r="FV57" s="24"/>
      <c r="FW57" s="24"/>
      <c r="FX57" s="24"/>
      <c r="FY57" s="24"/>
      <c r="FZ57" s="24"/>
      <c r="GA57" s="24"/>
      <c r="GB57" s="24"/>
      <c r="GC57" s="24"/>
      <c r="GD57" s="24"/>
      <c r="GE57" s="24"/>
      <c r="GF57" s="24"/>
      <c r="GG57" s="24"/>
      <c r="GH57" s="24"/>
      <c r="GI57" s="24"/>
      <c r="GJ57" s="24"/>
      <c r="GK57" s="24"/>
      <c r="GL57" s="24"/>
      <c r="GM57" s="24"/>
      <c r="GN57" s="24"/>
      <c r="GO57" s="24"/>
      <c r="GP57" s="24"/>
      <c r="GQ57" s="24"/>
      <c r="GR57" s="24"/>
      <c r="GS57" s="24"/>
      <c r="GT57" s="24"/>
      <c r="GU57" s="24"/>
      <c r="GV57" s="24"/>
      <c r="GW57" s="24"/>
      <c r="GX57" s="24"/>
      <c r="GY57" s="24"/>
      <c r="GZ57" s="24"/>
      <c r="HA57" s="24"/>
      <c r="HB57" s="24"/>
      <c r="HC57" s="24"/>
      <c r="HD57" s="24"/>
      <c r="HE57" s="24"/>
      <c r="HF57" s="24"/>
      <c r="HG57" s="24"/>
      <c r="HH57" s="24"/>
      <c r="HI57" s="24"/>
      <c r="HJ57" s="24"/>
      <c r="HK57" s="24"/>
      <c r="HL57" s="24"/>
      <c r="HM57" s="24"/>
      <c r="HN57" s="24"/>
      <c r="HO57" s="24"/>
      <c r="HP57" s="24"/>
      <c r="HQ57" s="24"/>
      <c r="HR57" s="24"/>
      <c r="HS57" s="24"/>
      <c r="HT57" s="24"/>
      <c r="HU57" s="24"/>
      <c r="HV57" s="24"/>
      <c r="HW57" s="24"/>
      <c r="HX57" s="24"/>
      <c r="HY57" s="24"/>
      <c r="HZ57" s="24"/>
      <c r="IA57" s="24"/>
      <c r="IB57" s="24"/>
      <c r="IC57" s="24"/>
      <c r="ID57" s="24"/>
      <c r="IE57" s="24"/>
      <c r="IF57" s="24"/>
      <c r="IG57" s="24"/>
      <c r="IH57" s="24"/>
      <c r="II57" s="24"/>
      <c r="IJ57" s="24"/>
      <c r="IK57" s="24"/>
      <c r="IL57" s="24"/>
      <c r="IM57" s="24"/>
      <c r="IN57" s="24"/>
      <c r="IO57" s="24"/>
      <c r="IP57" s="24"/>
      <c r="IQ57" s="24"/>
      <c r="IR57" s="24"/>
      <c r="IS57" s="24"/>
      <c r="IT57" s="24"/>
      <c r="IU57" s="24"/>
      <c r="IV57" s="24"/>
      <c r="IW57" s="24"/>
      <c r="IX57" s="24"/>
    </row>
    <row r="58" spans="1:258" s="2" customFormat="1" ht="13.05" customHeight="1">
      <c r="A58" s="187"/>
      <c r="B58" s="169" t="s">
        <v>118</v>
      </c>
      <c r="C58" s="4" t="s">
        <v>129</v>
      </c>
      <c r="D58" s="4" t="s">
        <v>128</v>
      </c>
      <c r="E58" s="4"/>
      <c r="F58" s="288"/>
      <c r="G58" s="288">
        <f>'DCF - Financials'!G35</f>
        <v>964.00000000000045</v>
      </c>
      <c r="H58" s="288">
        <f>'DCF - Financials'!H35</f>
        <v>977.60000000000059</v>
      </c>
      <c r="I58" s="288">
        <f>'DCF - Financials'!I35</f>
        <v>1086.0999999999999</v>
      </c>
      <c r="J58" s="288">
        <f>'DCF - Financials'!J35</f>
        <v>1147.3000000000002</v>
      </c>
      <c r="K58" s="343">
        <f>'DCF - Financials'!K35</f>
        <v>0</v>
      </c>
      <c r="L58" s="343">
        <f>'DCF - Financials'!L35</f>
        <v>0</v>
      </c>
      <c r="M58" s="343">
        <f>'DCF - Financials'!M35</f>
        <v>0</v>
      </c>
      <c r="N58" s="343">
        <f>'DCF - Financials'!N35</f>
        <v>0</v>
      </c>
      <c r="O58" s="343">
        <f>'DCF - Financials'!O35</f>
        <v>0</v>
      </c>
      <c r="P58" s="343">
        <f>'DCF - Financials'!P35</f>
        <v>0</v>
      </c>
      <c r="Q58" s="343">
        <f>'DCF - Financials'!Q35</f>
        <v>0</v>
      </c>
      <c r="R58" s="343">
        <f>'DCF - Financials'!R35</f>
        <v>0</v>
      </c>
      <c r="T58" s="188">
        <f t="shared" si="19"/>
        <v>1</v>
      </c>
      <c r="U58" s="35">
        <v>1</v>
      </c>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24"/>
      <c r="GQ58" s="24"/>
      <c r="GR58" s="24"/>
      <c r="GS58" s="24"/>
      <c r="GT58" s="24"/>
      <c r="GU58" s="24"/>
      <c r="GV58" s="24"/>
      <c r="GW58" s="24"/>
      <c r="GX58" s="24"/>
      <c r="GY58" s="24"/>
      <c r="GZ58" s="24"/>
      <c r="HA58" s="24"/>
      <c r="HB58" s="24"/>
      <c r="HC58" s="24"/>
      <c r="HD58" s="24"/>
      <c r="HE58" s="24"/>
      <c r="HF58" s="24"/>
      <c r="HG58" s="24"/>
      <c r="HH58" s="24"/>
      <c r="HI58" s="24"/>
      <c r="HJ58" s="24"/>
      <c r="HK58" s="24"/>
      <c r="HL58" s="24"/>
      <c r="HM58" s="24"/>
      <c r="HN58" s="24"/>
      <c r="HO58" s="24"/>
      <c r="HP58" s="24"/>
      <c r="HQ58" s="24"/>
      <c r="HR58" s="24"/>
      <c r="HS58" s="24"/>
      <c r="HT58" s="24"/>
      <c r="HU58" s="24"/>
      <c r="HV58" s="24"/>
      <c r="HW58" s="24"/>
      <c r="HX58" s="24"/>
      <c r="HY58" s="24"/>
      <c r="HZ58" s="24"/>
      <c r="IA58" s="24"/>
      <c r="IB58" s="24"/>
      <c r="IC58" s="24"/>
      <c r="ID58" s="24"/>
      <c r="IE58" s="24"/>
      <c r="IF58" s="24"/>
      <c r="IG58" s="24"/>
      <c r="IH58" s="24"/>
      <c r="II58" s="24"/>
      <c r="IJ58" s="24"/>
      <c r="IK58" s="24"/>
      <c r="IL58" s="24"/>
      <c r="IM58" s="24"/>
      <c r="IN58" s="24"/>
      <c r="IO58" s="24"/>
      <c r="IP58" s="24"/>
      <c r="IQ58" s="24"/>
      <c r="IR58" s="24"/>
      <c r="IS58" s="24"/>
      <c r="IT58" s="24"/>
      <c r="IU58" s="24"/>
      <c r="IV58" s="24"/>
      <c r="IW58" s="24"/>
      <c r="IX58" s="24"/>
    </row>
    <row r="59" spans="1:258" s="2" customFormat="1" ht="13.05" customHeight="1">
      <c r="A59" s="187"/>
      <c r="B59" s="227" t="s">
        <v>221</v>
      </c>
      <c r="C59" s="132" t="s">
        <v>129</v>
      </c>
      <c r="D59" s="132" t="s">
        <v>128</v>
      </c>
      <c r="E59" s="132"/>
      <c r="F59" s="342"/>
      <c r="G59" s="342">
        <f>G15</f>
        <v>6.4</v>
      </c>
      <c r="H59" s="342">
        <f>H15</f>
        <v>26.9</v>
      </c>
      <c r="I59" s="342">
        <f>I15</f>
        <v>28.4</v>
      </c>
      <c r="J59" s="342">
        <f>J15</f>
        <v>74</v>
      </c>
      <c r="K59" s="341">
        <f t="shared" ref="K59:R59" si="31">IFERROR(AVERAGE(K25,K28)*K31+AVERAGE(K34,K38)*K39,0)</f>
        <v>0</v>
      </c>
      <c r="L59" s="341">
        <f t="shared" si="31"/>
        <v>0</v>
      </c>
      <c r="M59" s="341">
        <f t="shared" si="31"/>
        <v>0</v>
      </c>
      <c r="N59" s="341">
        <f t="shared" si="31"/>
        <v>0</v>
      </c>
      <c r="O59" s="341">
        <f t="shared" si="31"/>
        <v>0</v>
      </c>
      <c r="P59" s="341">
        <f t="shared" si="31"/>
        <v>0</v>
      </c>
      <c r="Q59" s="341">
        <f t="shared" si="31"/>
        <v>0</v>
      </c>
      <c r="R59" s="341">
        <f t="shared" si="31"/>
        <v>0</v>
      </c>
      <c r="T59" s="188">
        <f t="shared" si="19"/>
        <v>1</v>
      </c>
      <c r="U59" s="35">
        <v>1</v>
      </c>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c r="GU59" s="24"/>
      <c r="GV59" s="24"/>
      <c r="GW59" s="24"/>
      <c r="GX59" s="24"/>
      <c r="GY59" s="24"/>
      <c r="GZ59" s="24"/>
      <c r="HA59" s="24"/>
      <c r="HB59" s="24"/>
      <c r="HC59" s="24"/>
      <c r="HD59" s="24"/>
      <c r="HE59" s="24"/>
      <c r="HF59" s="24"/>
      <c r="HG59" s="24"/>
      <c r="HH59" s="24"/>
      <c r="HI59" s="24"/>
      <c r="HJ59" s="24"/>
      <c r="HK59" s="24"/>
      <c r="HL59" s="24"/>
      <c r="HM59" s="24"/>
      <c r="HN59" s="24"/>
      <c r="HO59" s="24"/>
      <c r="HP59" s="24"/>
      <c r="HQ59" s="24"/>
      <c r="HR59" s="24"/>
      <c r="HS59" s="24"/>
      <c r="HT59" s="24"/>
      <c r="HU59" s="24"/>
      <c r="HV59" s="24"/>
      <c r="HW59" s="24"/>
      <c r="HX59" s="24"/>
      <c r="HY59" s="24"/>
      <c r="HZ59" s="24"/>
      <c r="IA59" s="24"/>
      <c r="IB59" s="24"/>
      <c r="IC59" s="24"/>
      <c r="ID59" s="24"/>
      <c r="IE59" s="24"/>
      <c r="IF59" s="24"/>
      <c r="IG59" s="24"/>
      <c r="IH59" s="24"/>
      <c r="II59" s="24"/>
      <c r="IJ59" s="24"/>
      <c r="IK59" s="24"/>
      <c r="IL59" s="24"/>
      <c r="IM59" s="24"/>
      <c r="IN59" s="24"/>
      <c r="IO59" s="24"/>
      <c r="IP59" s="24"/>
      <c r="IQ59" s="24"/>
      <c r="IR59" s="24"/>
      <c r="IS59" s="24"/>
      <c r="IT59" s="24"/>
      <c r="IU59" s="24"/>
      <c r="IV59" s="24"/>
      <c r="IW59" s="24"/>
      <c r="IX59" s="24"/>
    </row>
    <row r="60" spans="1:258" s="7" customFormat="1" ht="13.05" customHeight="1">
      <c r="A60" s="90"/>
      <c r="B60" s="165"/>
      <c r="C60" s="4"/>
      <c r="D60" s="4"/>
      <c r="E60" s="4"/>
      <c r="F60" s="331"/>
      <c r="G60" s="331"/>
      <c r="H60" s="331"/>
      <c r="I60" s="331"/>
      <c r="J60" s="331"/>
      <c r="K60" s="331"/>
      <c r="L60" s="331"/>
      <c r="M60" s="331"/>
      <c r="N60" s="331"/>
      <c r="O60" s="331"/>
      <c r="P60" s="331"/>
      <c r="Q60" s="331"/>
      <c r="R60" s="331"/>
      <c r="T60" s="188">
        <f t="shared" si="19"/>
        <v>0</v>
      </c>
      <c r="U60" s="35">
        <v>0</v>
      </c>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c r="IW60" s="4"/>
      <c r="IX60" s="4"/>
    </row>
    <row r="61" spans="1:258" s="7" customFormat="1" ht="13.05" customHeight="1">
      <c r="A61" s="90"/>
      <c r="B61" s="230" t="s">
        <v>220</v>
      </c>
      <c r="C61" s="4" t="s">
        <v>129</v>
      </c>
      <c r="D61" s="4" t="s">
        <v>123</v>
      </c>
      <c r="E61" s="4"/>
      <c r="F61" s="62"/>
      <c r="G61" s="62"/>
      <c r="H61" s="62"/>
      <c r="I61" s="340" t="s">
        <v>219</v>
      </c>
      <c r="J61" s="339">
        <v>0</v>
      </c>
      <c r="K61" s="338"/>
      <c r="L61" s="338"/>
      <c r="M61" s="338"/>
      <c r="N61" s="338"/>
      <c r="O61" s="338"/>
      <c r="P61" s="338"/>
      <c r="Q61" s="338"/>
      <c r="R61" s="338"/>
      <c r="T61" s="188">
        <f t="shared" si="19"/>
        <v>1</v>
      </c>
      <c r="U61" s="35">
        <v>1</v>
      </c>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c r="IW61" s="4"/>
      <c r="IX61" s="4"/>
    </row>
    <row r="62" spans="1:258" s="28" customFormat="1" ht="13.05" customHeight="1">
      <c r="A62" s="187"/>
      <c r="B62" s="208" t="s">
        <v>218</v>
      </c>
      <c r="C62" s="43" t="s">
        <v>129</v>
      </c>
      <c r="D62" s="43" t="s">
        <v>128</v>
      </c>
      <c r="E62" s="43"/>
      <c r="F62" s="268"/>
      <c r="G62" s="268"/>
      <c r="H62" s="268"/>
      <c r="I62" s="337"/>
      <c r="J62" s="337"/>
      <c r="K62" s="206">
        <f t="shared" ref="K62:R62" si="32">IF($J$61&gt;0,MIN(K61,K57*K51),K57*K51)</f>
        <v>0</v>
      </c>
      <c r="L62" s="206">
        <f t="shared" si="32"/>
        <v>0</v>
      </c>
      <c r="M62" s="206">
        <f t="shared" si="32"/>
        <v>0</v>
      </c>
      <c r="N62" s="206">
        <f t="shared" si="32"/>
        <v>0</v>
      </c>
      <c r="O62" s="206">
        <f t="shared" si="32"/>
        <v>0</v>
      </c>
      <c r="P62" s="206">
        <f t="shared" si="32"/>
        <v>0</v>
      </c>
      <c r="Q62" s="206">
        <f t="shared" si="32"/>
        <v>0</v>
      </c>
      <c r="R62" s="206">
        <f t="shared" si="32"/>
        <v>0</v>
      </c>
      <c r="T62" s="188">
        <f t="shared" si="19"/>
        <v>1</v>
      </c>
      <c r="U62" s="35">
        <v>1</v>
      </c>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c r="EV62" s="24"/>
      <c r="EW62" s="24"/>
      <c r="EX62" s="24"/>
      <c r="EY62" s="24"/>
      <c r="EZ62" s="24"/>
      <c r="FA62" s="24"/>
      <c r="FB62" s="24"/>
      <c r="FC62" s="24"/>
      <c r="FD62" s="24"/>
      <c r="FE62" s="24"/>
      <c r="FF62" s="24"/>
      <c r="FG62" s="24"/>
      <c r="FH62" s="24"/>
      <c r="FI62" s="24"/>
      <c r="FJ62" s="24"/>
      <c r="FK62" s="24"/>
      <c r="FL62" s="24"/>
      <c r="FM62" s="24"/>
      <c r="FN62" s="24"/>
      <c r="FO62" s="24"/>
      <c r="FP62" s="24"/>
      <c r="FQ62" s="24"/>
      <c r="FR62" s="24"/>
      <c r="FS62" s="24"/>
      <c r="FT62" s="24"/>
      <c r="FU62" s="24"/>
      <c r="FV62" s="24"/>
      <c r="FW62" s="24"/>
      <c r="FX62" s="24"/>
      <c r="FY62" s="24"/>
      <c r="FZ62" s="24"/>
      <c r="GA62" s="24"/>
      <c r="GB62" s="24"/>
      <c r="GC62" s="24"/>
      <c r="GD62" s="24"/>
      <c r="GE62" s="24"/>
      <c r="GF62" s="24"/>
      <c r="GG62" s="24"/>
      <c r="GH62" s="24"/>
      <c r="GI62" s="24"/>
      <c r="GJ62" s="24"/>
      <c r="GK62" s="24"/>
      <c r="GL62" s="24"/>
      <c r="GM62" s="24"/>
      <c r="GN62" s="24"/>
      <c r="GO62" s="24"/>
      <c r="GP62" s="24"/>
      <c r="GQ62" s="24"/>
      <c r="GR62" s="24"/>
      <c r="GS62" s="24"/>
      <c r="GT62" s="24"/>
      <c r="GU62" s="24"/>
      <c r="GV62" s="24"/>
      <c r="GW62" s="24"/>
      <c r="GX62" s="24"/>
      <c r="GY62" s="24"/>
      <c r="GZ62" s="24"/>
      <c r="HA62" s="24"/>
      <c r="HB62" s="24"/>
      <c r="HC62" s="24"/>
      <c r="HD62" s="24"/>
      <c r="HE62" s="24"/>
      <c r="HF62" s="24"/>
      <c r="HG62" s="24"/>
      <c r="HH62" s="24"/>
      <c r="HI62" s="24"/>
      <c r="HJ62" s="24"/>
      <c r="HK62" s="24"/>
      <c r="HL62" s="24"/>
      <c r="HM62" s="24"/>
      <c r="HN62" s="24"/>
      <c r="HO62" s="24"/>
      <c r="HP62" s="24"/>
      <c r="HQ62" s="24"/>
      <c r="HR62" s="24"/>
      <c r="HS62" s="24"/>
      <c r="HT62" s="24"/>
      <c r="HU62" s="24"/>
      <c r="HV62" s="24"/>
      <c r="HW62" s="24"/>
      <c r="HX62" s="24"/>
      <c r="HY62" s="24"/>
      <c r="HZ62" s="24"/>
      <c r="IA62" s="24"/>
      <c r="IB62" s="24"/>
      <c r="IC62" s="24"/>
      <c r="ID62" s="24"/>
      <c r="IE62" s="24"/>
      <c r="IF62" s="24"/>
      <c r="IG62" s="24"/>
      <c r="IH62" s="24"/>
      <c r="II62" s="24"/>
      <c r="IJ62" s="24"/>
      <c r="IK62" s="24"/>
      <c r="IL62" s="24"/>
      <c r="IM62" s="24"/>
      <c r="IN62" s="24"/>
      <c r="IO62" s="24"/>
      <c r="IP62" s="24"/>
      <c r="IQ62" s="24"/>
      <c r="IR62" s="24"/>
      <c r="IS62" s="24"/>
      <c r="IT62" s="24"/>
      <c r="IU62" s="24"/>
      <c r="IV62" s="24"/>
      <c r="IW62" s="24"/>
      <c r="IX62" s="24"/>
    </row>
    <row r="63" spans="1:258" s="28" customFormat="1" ht="4.5" customHeight="1">
      <c r="A63" s="187"/>
      <c r="B63" s="165"/>
      <c r="C63" s="4"/>
      <c r="D63" s="4"/>
      <c r="E63" s="4"/>
      <c r="F63" s="137"/>
      <c r="G63" s="137"/>
      <c r="H63" s="137"/>
      <c r="I63" s="336"/>
      <c r="J63" s="336"/>
      <c r="K63" s="210"/>
      <c r="L63" s="210"/>
      <c r="M63" s="210"/>
      <c r="N63" s="210"/>
      <c r="O63" s="210"/>
      <c r="P63" s="210"/>
      <c r="Q63" s="210"/>
      <c r="R63" s="210"/>
      <c r="T63" s="188">
        <f t="shared" si="19"/>
        <v>0</v>
      </c>
      <c r="U63" s="35">
        <v>0</v>
      </c>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c r="EA63" s="24"/>
      <c r="EB63" s="24"/>
      <c r="EC63" s="24"/>
      <c r="ED63" s="24"/>
      <c r="EE63" s="24"/>
      <c r="EF63" s="24"/>
      <c r="EG63" s="24"/>
      <c r="EH63" s="24"/>
      <c r="EI63" s="24"/>
      <c r="EJ63" s="24"/>
      <c r="EK63" s="24"/>
      <c r="EL63" s="24"/>
      <c r="EM63" s="24"/>
      <c r="EN63" s="24"/>
      <c r="EO63" s="24"/>
      <c r="EP63" s="24"/>
      <c r="EQ63" s="24"/>
      <c r="ER63" s="24"/>
      <c r="ES63" s="24"/>
      <c r="ET63" s="24"/>
      <c r="EU63" s="24"/>
      <c r="EV63" s="24"/>
      <c r="EW63" s="24"/>
      <c r="EX63" s="24"/>
      <c r="EY63" s="24"/>
      <c r="EZ63" s="24"/>
      <c r="FA63" s="24"/>
      <c r="FB63" s="24"/>
      <c r="FC63" s="24"/>
      <c r="FD63" s="24"/>
      <c r="FE63" s="24"/>
      <c r="FF63" s="24"/>
      <c r="FG63" s="24"/>
      <c r="FH63" s="24"/>
      <c r="FI63" s="24"/>
      <c r="FJ63" s="24"/>
      <c r="FK63" s="24"/>
      <c r="FL63" s="24"/>
      <c r="FM63" s="24"/>
      <c r="FN63" s="24"/>
      <c r="FO63" s="24"/>
      <c r="FP63" s="24"/>
      <c r="FQ63" s="24"/>
      <c r="FR63" s="24"/>
      <c r="FS63" s="24"/>
      <c r="FT63" s="24"/>
      <c r="FU63" s="24"/>
      <c r="FV63" s="24"/>
      <c r="FW63" s="24"/>
      <c r="FX63" s="24"/>
      <c r="FY63" s="24"/>
      <c r="FZ63" s="24"/>
      <c r="GA63" s="24"/>
      <c r="GB63" s="24"/>
      <c r="GC63" s="24"/>
      <c r="GD63" s="24"/>
      <c r="GE63" s="24"/>
      <c r="GF63" s="24"/>
      <c r="GG63" s="24"/>
      <c r="GH63" s="24"/>
      <c r="GI63" s="24"/>
      <c r="GJ63" s="24"/>
      <c r="GK63" s="24"/>
      <c r="GL63" s="24"/>
      <c r="GM63" s="24"/>
      <c r="GN63" s="24"/>
      <c r="GO63" s="24"/>
      <c r="GP63" s="24"/>
      <c r="GQ63" s="24"/>
      <c r="GR63" s="24"/>
      <c r="GS63" s="24"/>
      <c r="GT63" s="24"/>
      <c r="GU63" s="24"/>
      <c r="GV63" s="24"/>
      <c r="GW63" s="24"/>
      <c r="GX63" s="24"/>
      <c r="GY63" s="24"/>
      <c r="GZ63" s="24"/>
      <c r="HA63" s="24"/>
      <c r="HB63" s="24"/>
      <c r="HC63" s="24"/>
      <c r="HD63" s="24"/>
      <c r="HE63" s="24"/>
      <c r="HF63" s="24"/>
      <c r="HG63" s="24"/>
      <c r="HH63" s="24"/>
      <c r="HI63" s="24"/>
      <c r="HJ63" s="24"/>
      <c r="HK63" s="24"/>
      <c r="HL63" s="24"/>
      <c r="HM63" s="24"/>
      <c r="HN63" s="24"/>
      <c r="HO63" s="24"/>
      <c r="HP63" s="24"/>
      <c r="HQ63" s="24"/>
      <c r="HR63" s="24"/>
      <c r="HS63" s="24"/>
      <c r="HT63" s="24"/>
      <c r="HU63" s="24"/>
      <c r="HV63" s="24"/>
      <c r="HW63" s="24"/>
      <c r="HX63" s="24"/>
      <c r="HY63" s="24"/>
      <c r="HZ63" s="24"/>
      <c r="IA63" s="24"/>
      <c r="IB63" s="24"/>
      <c r="IC63" s="24"/>
      <c r="ID63" s="24"/>
      <c r="IE63" s="24"/>
      <c r="IF63" s="24"/>
      <c r="IG63" s="24"/>
      <c r="IH63" s="24"/>
      <c r="II63" s="24"/>
      <c r="IJ63" s="24"/>
      <c r="IK63" s="24"/>
      <c r="IL63" s="24"/>
      <c r="IM63" s="24"/>
      <c r="IN63" s="24"/>
      <c r="IO63" s="24"/>
      <c r="IP63" s="24"/>
      <c r="IQ63" s="24"/>
      <c r="IR63" s="24"/>
      <c r="IS63" s="24"/>
      <c r="IT63" s="24"/>
      <c r="IU63" s="24"/>
      <c r="IV63" s="24"/>
      <c r="IW63" s="24"/>
      <c r="IX63" s="24"/>
    </row>
    <row r="64" spans="1:258" s="2" customFormat="1" ht="13.05" customHeight="1">
      <c r="A64" s="187"/>
      <c r="B64" s="316" t="s">
        <v>217</v>
      </c>
      <c r="C64" s="34"/>
      <c r="D64" s="34"/>
      <c r="E64" s="34"/>
      <c r="F64" s="335"/>
      <c r="G64" s="335"/>
      <c r="H64" s="335"/>
      <c r="I64" s="334"/>
      <c r="J64" s="334"/>
      <c r="K64" s="333"/>
      <c r="L64" s="323"/>
      <c r="M64" s="323"/>
      <c r="N64" s="323"/>
      <c r="O64" s="323"/>
      <c r="P64" s="323"/>
      <c r="Q64" s="323"/>
      <c r="R64" s="323"/>
      <c r="T64" s="188">
        <f t="shared" si="19"/>
        <v>1</v>
      </c>
      <c r="U64" s="35">
        <v>1</v>
      </c>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c r="EO64" s="24"/>
      <c r="EP64" s="24"/>
      <c r="EQ64" s="24"/>
      <c r="ER64" s="24"/>
      <c r="ES64" s="24"/>
      <c r="ET64" s="24"/>
      <c r="EU64" s="24"/>
      <c r="EV64" s="24"/>
      <c r="EW64" s="24"/>
      <c r="EX64" s="24"/>
      <c r="EY64" s="24"/>
      <c r="EZ64" s="24"/>
      <c r="FA64" s="24"/>
      <c r="FB64" s="24"/>
      <c r="FC64" s="24"/>
      <c r="FD64" s="24"/>
      <c r="FE64" s="24"/>
      <c r="FF64" s="24"/>
      <c r="FG64" s="24"/>
      <c r="FH64" s="24"/>
      <c r="FI64" s="24"/>
      <c r="FJ64" s="24"/>
      <c r="FK64" s="24"/>
      <c r="FL64" s="24"/>
      <c r="FM64" s="24"/>
      <c r="FN64" s="24"/>
      <c r="FO64" s="24"/>
      <c r="FP64" s="24"/>
      <c r="FQ64" s="24"/>
      <c r="FR64" s="24"/>
      <c r="FS64" s="24"/>
      <c r="FT64" s="24"/>
      <c r="FU64" s="24"/>
      <c r="FV64" s="24"/>
      <c r="FW64" s="24"/>
      <c r="FX64" s="24"/>
      <c r="FY64" s="24"/>
      <c r="FZ64" s="24"/>
      <c r="GA64" s="24"/>
      <c r="GB64" s="24"/>
      <c r="GC64" s="24"/>
      <c r="GD64" s="24"/>
      <c r="GE64" s="24"/>
      <c r="GF64" s="24"/>
      <c r="GG64" s="24"/>
      <c r="GH64" s="24"/>
      <c r="GI64" s="24"/>
      <c r="GJ64" s="24"/>
      <c r="GK64" s="24"/>
      <c r="GL64" s="24"/>
      <c r="GM64" s="24"/>
      <c r="GN64" s="24"/>
      <c r="GO64" s="24"/>
      <c r="GP64" s="24"/>
      <c r="GQ64" s="24"/>
      <c r="GR64" s="24"/>
      <c r="GS64" s="24"/>
      <c r="GT64" s="24"/>
      <c r="GU64" s="24"/>
      <c r="GV64" s="24"/>
      <c r="GW64" s="24"/>
      <c r="GX64" s="24"/>
      <c r="GY64" s="24"/>
      <c r="GZ64" s="24"/>
      <c r="HA64" s="24"/>
      <c r="HB64" s="24"/>
      <c r="HC64" s="24"/>
      <c r="HD64" s="24"/>
      <c r="HE64" s="24"/>
      <c r="HF64" s="24"/>
      <c r="HG64" s="24"/>
      <c r="HH64" s="24"/>
      <c r="HI64" s="24"/>
      <c r="HJ64" s="24"/>
      <c r="HK64" s="24"/>
      <c r="HL64" s="24"/>
      <c r="HM64" s="24"/>
      <c r="HN64" s="24"/>
      <c r="HO64" s="24"/>
      <c r="HP64" s="24"/>
      <c r="HQ64" s="24"/>
      <c r="HR64" s="24"/>
      <c r="HS64" s="24"/>
      <c r="HT64" s="24"/>
      <c r="HU64" s="24"/>
      <c r="HV64" s="24"/>
      <c r="HW64" s="24"/>
      <c r="HX64" s="24"/>
      <c r="HY64" s="24"/>
      <c r="HZ64" s="24"/>
      <c r="IA64" s="24"/>
      <c r="IB64" s="24"/>
      <c r="IC64" s="24"/>
      <c r="ID64" s="24"/>
      <c r="IE64" s="24"/>
      <c r="IF64" s="24"/>
      <c r="IG64" s="24"/>
      <c r="IH64" s="24"/>
      <c r="II64" s="24"/>
      <c r="IJ64" s="24"/>
      <c r="IK64" s="24"/>
      <c r="IL64" s="24"/>
      <c r="IM64" s="24"/>
      <c r="IN64" s="24"/>
      <c r="IO64" s="24"/>
      <c r="IP64" s="24"/>
      <c r="IQ64" s="24"/>
      <c r="IR64" s="24"/>
      <c r="IS64" s="24"/>
      <c r="IT64" s="24"/>
      <c r="IU64" s="24"/>
      <c r="IV64" s="24"/>
      <c r="IW64" s="24"/>
      <c r="IX64" s="24"/>
    </row>
    <row r="65" spans="1:258" s="2" customFormat="1" ht="13.05" customHeight="1">
      <c r="A65" s="187"/>
      <c r="B65" s="316" t="s">
        <v>216</v>
      </c>
      <c r="C65" s="4"/>
      <c r="D65" s="4"/>
      <c r="E65" s="4"/>
      <c r="F65" s="331"/>
      <c r="G65" s="331"/>
      <c r="H65" s="331"/>
      <c r="I65" s="331"/>
      <c r="J65" s="331"/>
      <c r="K65" s="331"/>
      <c r="L65" s="331"/>
      <c r="M65" s="331"/>
      <c r="N65" s="331"/>
      <c r="O65" s="331"/>
      <c r="P65" s="331"/>
      <c r="Q65" s="331"/>
      <c r="R65" s="331"/>
      <c r="T65" s="188">
        <f t="shared" si="19"/>
        <v>1</v>
      </c>
      <c r="U65" s="35">
        <v>1</v>
      </c>
      <c r="CU65" s="24"/>
      <c r="CV65" s="24"/>
      <c r="CW65" s="24"/>
      <c r="CX65" s="24"/>
      <c r="CY65" s="24"/>
      <c r="CZ65" s="24"/>
      <c r="DA65" s="24"/>
      <c r="DB65" s="24"/>
      <c r="DC65" s="24"/>
      <c r="DD65" s="24"/>
      <c r="DE65" s="24"/>
      <c r="DF65" s="24"/>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c r="FY65" s="24"/>
      <c r="FZ65" s="24"/>
      <c r="GA65" s="24"/>
      <c r="GB65" s="24"/>
      <c r="GC65" s="24"/>
      <c r="GD65" s="24"/>
      <c r="GE65" s="24"/>
      <c r="GF65" s="24"/>
      <c r="GG65" s="24"/>
      <c r="GH65" s="24"/>
      <c r="GI65" s="24"/>
      <c r="GJ65" s="24"/>
      <c r="GK65" s="24"/>
      <c r="GL65" s="24"/>
      <c r="GM65" s="24"/>
      <c r="GN65" s="24"/>
      <c r="GO65" s="24"/>
      <c r="GP65" s="24"/>
      <c r="GQ65" s="24"/>
      <c r="GR65" s="24"/>
      <c r="GS65" s="24"/>
      <c r="GT65" s="24"/>
      <c r="GU65" s="24"/>
      <c r="GV65" s="24"/>
      <c r="GW65" s="24"/>
      <c r="GX65" s="24"/>
      <c r="GY65" s="24"/>
      <c r="GZ65" s="24"/>
      <c r="HA65" s="24"/>
      <c r="HB65" s="24"/>
      <c r="HC65" s="24"/>
      <c r="HD65" s="24"/>
      <c r="HE65" s="24"/>
      <c r="HF65" s="24"/>
      <c r="HG65" s="24"/>
      <c r="HH65" s="24"/>
      <c r="HI65" s="24"/>
      <c r="HJ65" s="24"/>
      <c r="HK65" s="24"/>
      <c r="HL65" s="24"/>
      <c r="HM65" s="24"/>
      <c r="HN65" s="24"/>
      <c r="HO65" s="24"/>
      <c r="HP65" s="24"/>
      <c r="HQ65" s="24"/>
      <c r="HR65" s="24"/>
      <c r="HS65" s="24"/>
      <c r="HT65" s="24"/>
      <c r="HU65" s="24"/>
      <c r="HV65" s="24"/>
      <c r="HW65" s="24"/>
      <c r="HX65" s="24"/>
      <c r="HY65" s="24"/>
      <c r="HZ65" s="24"/>
      <c r="IA65" s="24"/>
      <c r="IB65" s="24"/>
      <c r="IC65" s="24"/>
      <c r="ID65" s="24"/>
      <c r="IE65" s="24"/>
      <c r="IF65" s="24"/>
      <c r="IG65" s="24"/>
      <c r="IH65" s="24"/>
      <c r="II65" s="24"/>
      <c r="IJ65" s="24"/>
      <c r="IK65" s="24"/>
      <c r="IL65" s="24"/>
      <c r="IM65" s="24"/>
      <c r="IN65" s="24"/>
      <c r="IO65" s="24"/>
      <c r="IP65" s="24"/>
      <c r="IQ65" s="24"/>
      <c r="IR65" s="24"/>
      <c r="IS65" s="24"/>
      <c r="IT65" s="24"/>
      <c r="IU65" s="24"/>
      <c r="IV65" s="24"/>
      <c r="IW65" s="24"/>
      <c r="IX65" s="24"/>
    </row>
    <row r="66" spans="1:258" s="2" customFormat="1" ht="13.05" customHeight="1">
      <c r="A66" s="187"/>
      <c r="B66" s="316" t="s">
        <v>215</v>
      </c>
      <c r="C66" s="4"/>
      <c r="D66" s="4"/>
      <c r="E66" s="4"/>
      <c r="F66" s="331"/>
      <c r="G66" s="331"/>
      <c r="H66" s="331"/>
      <c r="I66" s="331"/>
      <c r="J66" s="331"/>
      <c r="K66" s="331"/>
      <c r="L66" s="331"/>
      <c r="M66" s="331"/>
      <c r="N66" s="331"/>
      <c r="O66" s="331"/>
      <c r="P66" s="331"/>
      <c r="Q66" s="331"/>
      <c r="R66" s="331"/>
      <c r="T66" s="188">
        <f t="shared" si="19"/>
        <v>1</v>
      </c>
      <c r="U66" s="35">
        <v>1</v>
      </c>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c r="FY66" s="24"/>
      <c r="FZ66" s="24"/>
      <c r="GA66" s="24"/>
      <c r="GB66" s="24"/>
      <c r="GC66" s="24"/>
      <c r="GD66" s="24"/>
      <c r="GE66" s="24"/>
      <c r="GF66" s="24"/>
      <c r="GG66" s="24"/>
      <c r="GH66" s="24"/>
      <c r="GI66" s="24"/>
      <c r="GJ66" s="24"/>
      <c r="GK66" s="24"/>
      <c r="GL66" s="24"/>
      <c r="GM66" s="24"/>
      <c r="GN66" s="24"/>
      <c r="GO66" s="24"/>
      <c r="GP66" s="24"/>
      <c r="GQ66" s="24"/>
      <c r="GR66" s="24"/>
      <c r="GS66" s="24"/>
      <c r="GT66" s="24"/>
      <c r="GU66" s="24"/>
      <c r="GV66" s="24"/>
      <c r="GW66" s="24"/>
      <c r="GX66" s="24"/>
      <c r="GY66" s="24"/>
      <c r="GZ66" s="24"/>
      <c r="HA66" s="24"/>
      <c r="HB66" s="24"/>
      <c r="HC66" s="24"/>
      <c r="HD66" s="24"/>
      <c r="HE66" s="24"/>
      <c r="HF66" s="24"/>
      <c r="HG66" s="24"/>
      <c r="HH66" s="24"/>
      <c r="HI66" s="24"/>
      <c r="HJ66" s="24"/>
      <c r="HK66" s="24"/>
      <c r="HL66" s="24"/>
      <c r="HM66" s="24"/>
      <c r="HN66" s="24"/>
      <c r="HO66" s="24"/>
      <c r="HP66" s="24"/>
      <c r="HQ66" s="24"/>
      <c r="HR66" s="24"/>
      <c r="HS66" s="24"/>
      <c r="HT66" s="24"/>
      <c r="HU66" s="24"/>
      <c r="HV66" s="24"/>
      <c r="HW66" s="24"/>
      <c r="HX66" s="24"/>
      <c r="HY66" s="24"/>
      <c r="HZ66" s="24"/>
      <c r="IA66" s="24"/>
      <c r="IB66" s="24"/>
      <c r="IC66" s="24"/>
      <c r="ID66" s="24"/>
      <c r="IE66" s="24"/>
      <c r="IF66" s="24"/>
      <c r="IG66" s="24"/>
      <c r="IH66" s="24"/>
      <c r="II66" s="24"/>
      <c r="IJ66" s="24"/>
      <c r="IK66" s="24"/>
      <c r="IL66" s="24"/>
      <c r="IM66" s="24"/>
      <c r="IN66" s="24"/>
      <c r="IO66" s="24"/>
      <c r="IP66" s="24"/>
      <c r="IQ66" s="24"/>
      <c r="IR66" s="24"/>
      <c r="IS66" s="24"/>
      <c r="IT66" s="24"/>
      <c r="IU66" s="24"/>
      <c r="IV66" s="24"/>
      <c r="IW66" s="24"/>
      <c r="IX66" s="24"/>
    </row>
    <row r="67" spans="1:258" s="2" customFormat="1" ht="13.05" customHeight="1">
      <c r="A67" s="187"/>
      <c r="B67" s="316" t="s">
        <v>214</v>
      </c>
      <c r="C67" s="4"/>
      <c r="D67" s="4"/>
      <c r="E67" s="4"/>
      <c r="F67" s="331"/>
      <c r="G67" s="331"/>
      <c r="H67" s="331"/>
      <c r="I67" s="331"/>
      <c r="J67" s="331"/>
      <c r="K67" s="331"/>
      <c r="L67" s="331"/>
      <c r="M67" s="331"/>
      <c r="N67" s="331"/>
      <c r="O67" s="331"/>
      <c r="P67" s="331"/>
      <c r="Q67" s="331"/>
      <c r="R67" s="331"/>
      <c r="T67" s="188">
        <f t="shared" si="19"/>
        <v>1</v>
      </c>
      <c r="U67" s="35">
        <v>1</v>
      </c>
      <c r="CU67" s="24"/>
      <c r="CV67" s="24"/>
      <c r="CW67" s="24"/>
      <c r="CX67" s="24"/>
      <c r="CY67" s="24"/>
      <c r="CZ67" s="24"/>
      <c r="DA67" s="24"/>
      <c r="DB67" s="24"/>
      <c r="DC67" s="24"/>
      <c r="DD67" s="24"/>
      <c r="DE67" s="24"/>
      <c r="DF67" s="24"/>
      <c r="DG67" s="24"/>
      <c r="DH67" s="24"/>
      <c r="DI67" s="24"/>
      <c r="DJ67" s="24"/>
      <c r="DK67" s="24"/>
      <c r="DL67" s="24"/>
      <c r="DM67" s="24"/>
      <c r="DN67" s="24"/>
      <c r="DO67" s="24"/>
      <c r="DP67" s="24"/>
      <c r="DQ67" s="24"/>
      <c r="DR67" s="24"/>
      <c r="DS67" s="24"/>
      <c r="DT67" s="24"/>
      <c r="DU67" s="24"/>
      <c r="DV67" s="24"/>
      <c r="DW67" s="24"/>
      <c r="DX67" s="24"/>
      <c r="DY67" s="24"/>
      <c r="DZ67" s="24"/>
      <c r="EA67" s="24"/>
      <c r="EB67" s="24"/>
      <c r="EC67" s="24"/>
      <c r="ED67" s="24"/>
      <c r="EE67" s="24"/>
      <c r="EF67" s="24"/>
      <c r="EG67" s="24"/>
      <c r="EH67" s="24"/>
      <c r="EI67" s="24"/>
      <c r="EJ67" s="24"/>
      <c r="EK67" s="24"/>
      <c r="EL67" s="24"/>
      <c r="EM67" s="24"/>
      <c r="EN67" s="24"/>
      <c r="EO67" s="24"/>
      <c r="EP67" s="24"/>
      <c r="EQ67" s="24"/>
      <c r="ER67" s="24"/>
      <c r="ES67" s="24"/>
      <c r="ET67" s="24"/>
      <c r="EU67" s="24"/>
      <c r="EV67" s="24"/>
      <c r="EW67" s="24"/>
      <c r="EX67" s="24"/>
      <c r="EY67" s="24"/>
      <c r="EZ67" s="24"/>
      <c r="FA67" s="24"/>
      <c r="FB67" s="24"/>
      <c r="FC67" s="24"/>
      <c r="FD67" s="24"/>
      <c r="FE67" s="24"/>
      <c r="FF67" s="24"/>
      <c r="FG67" s="24"/>
      <c r="FH67" s="24"/>
      <c r="FI67" s="24"/>
      <c r="FJ67" s="24"/>
      <c r="FK67" s="24"/>
      <c r="FL67" s="24"/>
      <c r="FM67" s="24"/>
      <c r="FN67" s="24"/>
      <c r="FO67" s="24"/>
      <c r="FP67" s="24"/>
      <c r="FQ67" s="24"/>
      <c r="FR67" s="24"/>
      <c r="FS67" s="24"/>
      <c r="FT67" s="24"/>
      <c r="FU67" s="24"/>
      <c r="FV67" s="24"/>
      <c r="FW67" s="24"/>
      <c r="FX67" s="24"/>
      <c r="FY67" s="24"/>
      <c r="FZ67" s="24"/>
      <c r="GA67" s="24"/>
      <c r="GB67" s="24"/>
      <c r="GC67" s="24"/>
      <c r="GD67" s="24"/>
      <c r="GE67" s="24"/>
      <c r="GF67" s="24"/>
      <c r="GG67" s="24"/>
      <c r="GH67" s="24"/>
      <c r="GI67" s="24"/>
      <c r="GJ67" s="24"/>
      <c r="GK67" s="24"/>
      <c r="GL67" s="24"/>
      <c r="GM67" s="24"/>
      <c r="GN67" s="24"/>
      <c r="GO67" s="24"/>
      <c r="GP67" s="24"/>
      <c r="GQ67" s="24"/>
      <c r="GR67" s="24"/>
      <c r="GS67" s="24"/>
      <c r="GT67" s="24"/>
      <c r="GU67" s="24"/>
      <c r="GV67" s="24"/>
      <c r="GW67" s="24"/>
      <c r="GX67" s="24"/>
      <c r="GY67" s="24"/>
      <c r="GZ67" s="24"/>
      <c r="HA67" s="24"/>
      <c r="HB67" s="24"/>
      <c r="HC67" s="24"/>
      <c r="HD67" s="24"/>
      <c r="HE67" s="24"/>
      <c r="HF67" s="24"/>
      <c r="HG67" s="24"/>
      <c r="HH67" s="24"/>
      <c r="HI67" s="24"/>
      <c r="HJ67" s="24"/>
      <c r="HK67" s="24"/>
      <c r="HL67" s="24"/>
      <c r="HM67" s="24"/>
      <c r="HN67" s="24"/>
      <c r="HO67" s="24"/>
      <c r="HP67" s="24"/>
      <c r="HQ67" s="24"/>
      <c r="HR67" s="24"/>
      <c r="HS67" s="24"/>
      <c r="HT67" s="24"/>
      <c r="HU67" s="24"/>
      <c r="HV67" s="24"/>
      <c r="HW67" s="24"/>
      <c r="HX67" s="24"/>
      <c r="HY67" s="24"/>
      <c r="HZ67" s="24"/>
      <c r="IA67" s="24"/>
      <c r="IB67" s="24"/>
      <c r="IC67" s="24"/>
      <c r="ID67" s="24"/>
      <c r="IE67" s="24"/>
      <c r="IF67" s="24"/>
      <c r="IG67" s="24"/>
      <c r="IH67" s="24"/>
      <c r="II67" s="24"/>
      <c r="IJ67" s="24"/>
      <c r="IK67" s="24"/>
      <c r="IL67" s="24"/>
      <c r="IM67" s="24"/>
      <c r="IN67" s="24"/>
      <c r="IO67" s="24"/>
      <c r="IP67" s="24"/>
      <c r="IQ67" s="24"/>
      <c r="IR67" s="24"/>
      <c r="IS67" s="24"/>
      <c r="IT67" s="24"/>
      <c r="IU67" s="24"/>
      <c r="IV67" s="24"/>
      <c r="IW67" s="24"/>
      <c r="IX67" s="24"/>
    </row>
    <row r="68" spans="1:258" s="2" customFormat="1" ht="13.05" customHeight="1">
      <c r="A68" s="187"/>
      <c r="B68" s="332"/>
      <c r="C68" s="4"/>
      <c r="D68" s="4"/>
      <c r="E68" s="4"/>
      <c r="F68" s="331"/>
      <c r="G68" s="331"/>
      <c r="H68" s="331"/>
      <c r="I68" s="331"/>
      <c r="J68" s="331"/>
      <c r="K68" s="331"/>
      <c r="L68" s="331"/>
      <c r="M68" s="331"/>
      <c r="N68" s="331"/>
      <c r="O68" s="331"/>
      <c r="P68" s="331"/>
      <c r="Q68" s="331"/>
      <c r="R68" s="331"/>
      <c r="T68" s="188">
        <f t="shared" si="19"/>
        <v>0</v>
      </c>
      <c r="U68" s="35">
        <v>0</v>
      </c>
      <c r="CU68" s="24"/>
      <c r="CV68" s="24"/>
      <c r="CW68" s="24"/>
      <c r="CX68" s="24"/>
      <c r="CY68" s="24"/>
      <c r="CZ68" s="24"/>
      <c r="DA68" s="24"/>
      <c r="DB68" s="24"/>
      <c r="DC68" s="24"/>
      <c r="DD68" s="24"/>
      <c r="DE68" s="24"/>
      <c r="DF68" s="24"/>
      <c r="DG68" s="24"/>
      <c r="DH68" s="24"/>
      <c r="DI68" s="24"/>
      <c r="DJ68" s="24"/>
      <c r="DK68" s="24"/>
      <c r="DL68" s="24"/>
      <c r="DM68" s="24"/>
      <c r="DN68" s="24"/>
      <c r="DO68" s="24"/>
      <c r="DP68" s="24"/>
      <c r="DQ68" s="24"/>
      <c r="DR68" s="24"/>
      <c r="DS68" s="24"/>
      <c r="DT68" s="24"/>
      <c r="DU68" s="24"/>
      <c r="DV68" s="24"/>
      <c r="DW68" s="24"/>
      <c r="DX68" s="24"/>
      <c r="DY68" s="24"/>
      <c r="DZ68" s="24"/>
      <c r="EA68" s="24"/>
      <c r="EB68" s="24"/>
      <c r="EC68" s="24"/>
      <c r="ED68" s="24"/>
      <c r="EE68" s="24"/>
      <c r="EF68" s="24"/>
      <c r="EG68" s="24"/>
      <c r="EH68" s="24"/>
      <c r="EI68" s="24"/>
      <c r="EJ68" s="24"/>
      <c r="EK68" s="24"/>
      <c r="EL68" s="24"/>
      <c r="EM68" s="24"/>
      <c r="EN68" s="24"/>
      <c r="EO68" s="24"/>
      <c r="EP68" s="24"/>
      <c r="EQ68" s="24"/>
      <c r="ER68" s="24"/>
      <c r="ES68" s="24"/>
      <c r="ET68" s="24"/>
      <c r="EU68" s="24"/>
      <c r="EV68" s="24"/>
      <c r="EW68" s="24"/>
      <c r="EX68" s="24"/>
      <c r="EY68" s="24"/>
      <c r="EZ68" s="24"/>
      <c r="FA68" s="24"/>
      <c r="FB68" s="24"/>
      <c r="FC68" s="24"/>
      <c r="FD68" s="24"/>
      <c r="FE68" s="24"/>
      <c r="FF68" s="24"/>
      <c r="FG68" s="24"/>
      <c r="FH68" s="24"/>
      <c r="FI68" s="24"/>
      <c r="FJ68" s="24"/>
      <c r="FK68" s="24"/>
      <c r="FL68" s="24"/>
      <c r="FM68" s="24"/>
      <c r="FN68" s="24"/>
      <c r="FO68" s="24"/>
      <c r="FP68" s="24"/>
      <c r="FQ68" s="24"/>
      <c r="FR68" s="24"/>
      <c r="FS68" s="24"/>
      <c r="FT68" s="24"/>
      <c r="FU68" s="24"/>
      <c r="FV68" s="24"/>
      <c r="FW68" s="24"/>
      <c r="FX68" s="24"/>
      <c r="FY68" s="24"/>
      <c r="FZ68" s="24"/>
      <c r="GA68" s="24"/>
      <c r="GB68" s="24"/>
      <c r="GC68" s="24"/>
      <c r="GD68" s="24"/>
      <c r="GE68" s="24"/>
      <c r="GF68" s="24"/>
      <c r="GG68" s="24"/>
      <c r="GH68" s="24"/>
      <c r="GI68" s="24"/>
      <c r="GJ68" s="24"/>
      <c r="GK68" s="24"/>
      <c r="GL68" s="24"/>
      <c r="GM68" s="24"/>
      <c r="GN68" s="24"/>
      <c r="GO68" s="24"/>
      <c r="GP68" s="24"/>
      <c r="GQ68" s="24"/>
      <c r="GR68" s="24"/>
      <c r="GS68" s="24"/>
      <c r="GT68" s="24"/>
      <c r="GU68" s="24"/>
      <c r="GV68" s="24"/>
      <c r="GW68" s="24"/>
      <c r="GX68" s="24"/>
      <c r="GY68" s="24"/>
      <c r="GZ68" s="24"/>
      <c r="HA68" s="24"/>
      <c r="HB68" s="24"/>
      <c r="HC68" s="24"/>
      <c r="HD68" s="24"/>
      <c r="HE68" s="24"/>
      <c r="HF68" s="24"/>
      <c r="HG68" s="24"/>
      <c r="HH68" s="24"/>
      <c r="HI68" s="24"/>
      <c r="HJ68" s="24"/>
      <c r="HK68" s="24"/>
      <c r="HL68" s="24"/>
      <c r="HM68" s="24"/>
      <c r="HN68" s="24"/>
      <c r="HO68" s="24"/>
      <c r="HP68" s="24"/>
      <c r="HQ68" s="24"/>
      <c r="HR68" s="24"/>
      <c r="HS68" s="24"/>
      <c r="HT68" s="24"/>
      <c r="HU68" s="24"/>
      <c r="HV68" s="24"/>
      <c r="HW68" s="24"/>
      <c r="HX68" s="24"/>
      <c r="HY68" s="24"/>
      <c r="HZ68" s="24"/>
      <c r="IA68" s="24"/>
      <c r="IB68" s="24"/>
      <c r="IC68" s="24"/>
      <c r="ID68" s="24"/>
      <c r="IE68" s="24"/>
      <c r="IF68" s="24"/>
      <c r="IG68" s="24"/>
      <c r="IH68" s="24"/>
      <c r="II68" s="24"/>
      <c r="IJ68" s="24"/>
      <c r="IK68" s="24"/>
      <c r="IL68" s="24"/>
      <c r="IM68" s="24"/>
      <c r="IN68" s="24"/>
      <c r="IO68" s="24"/>
      <c r="IP68" s="24"/>
      <c r="IQ68" s="24"/>
      <c r="IR68" s="24"/>
      <c r="IS68" s="24"/>
      <c r="IT68" s="24"/>
      <c r="IU68" s="24"/>
      <c r="IV68" s="24"/>
      <c r="IW68" s="24"/>
      <c r="IX68" s="24"/>
    </row>
    <row r="69" spans="1:258" s="4" customFormat="1">
      <c r="B69" s="730" t="s">
        <v>213</v>
      </c>
      <c r="C69" s="731"/>
      <c r="D69" s="731"/>
      <c r="E69" s="731"/>
      <c r="F69" s="732"/>
      <c r="G69" s="732"/>
      <c r="H69" s="732"/>
      <c r="I69" s="732"/>
      <c r="J69" s="732"/>
      <c r="K69" s="732"/>
      <c r="L69" s="732"/>
      <c r="M69" s="732"/>
      <c r="N69" s="732"/>
      <c r="O69" s="732"/>
      <c r="P69" s="732"/>
      <c r="Q69" s="732"/>
      <c r="R69" s="732"/>
      <c r="S69" s="7"/>
      <c r="T69" s="188">
        <f t="shared" si="19"/>
        <v>1</v>
      </c>
      <c r="U69" s="35">
        <v>1</v>
      </c>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row>
    <row r="70" spans="1:258" s="2" customFormat="1" ht="13.05" customHeight="1">
      <c r="A70" s="24"/>
      <c r="B70" s="24"/>
      <c r="C70" s="24"/>
      <c r="D70" s="24"/>
      <c r="E70" s="24"/>
      <c r="F70" s="277"/>
      <c r="G70" s="330"/>
      <c r="H70" s="277"/>
      <c r="I70" s="277"/>
      <c r="J70" s="277"/>
      <c r="K70" s="276" t="s">
        <v>174</v>
      </c>
      <c r="L70" s="275"/>
      <c r="M70" s="275"/>
      <c r="N70" s="275"/>
      <c r="O70" s="275"/>
      <c r="P70" s="275"/>
      <c r="Q70" s="275"/>
      <c r="R70" s="275"/>
      <c r="T70" s="188">
        <f t="shared" si="19"/>
        <v>0</v>
      </c>
      <c r="U70" s="35">
        <v>0</v>
      </c>
    </row>
    <row r="71" spans="1:258" s="2" customFormat="1" ht="13.05" customHeight="1" thickBot="1">
      <c r="A71" s="4"/>
      <c r="B71" s="299"/>
      <c r="C71" s="274" t="str">
        <f>+C$7</f>
        <v>Unit</v>
      </c>
      <c r="D71" s="274" t="str">
        <f>+D$7</f>
        <v>Type</v>
      </c>
      <c r="E71" s="94"/>
      <c r="F71" s="274">
        <f t="shared" ref="F71:R71" si="33">+F$7</f>
        <v>2014</v>
      </c>
      <c r="G71" s="274">
        <f t="shared" si="33"/>
        <v>2015</v>
      </c>
      <c r="H71" s="274">
        <f t="shared" si="33"/>
        <v>2016</v>
      </c>
      <c r="I71" s="274">
        <f t="shared" si="33"/>
        <v>2017</v>
      </c>
      <c r="J71" s="274">
        <f t="shared" si="33"/>
        <v>2018</v>
      </c>
      <c r="K71" s="274">
        <f t="shared" si="33"/>
        <v>2019</v>
      </c>
      <c r="L71" s="274">
        <f t="shared" si="33"/>
        <v>2020</v>
      </c>
      <c r="M71" s="274">
        <f t="shared" si="33"/>
        <v>2021</v>
      </c>
      <c r="N71" s="274">
        <f t="shared" si="33"/>
        <v>2022</v>
      </c>
      <c r="O71" s="274">
        <f t="shared" si="33"/>
        <v>2023</v>
      </c>
      <c r="P71" s="274">
        <f t="shared" si="33"/>
        <v>2024</v>
      </c>
      <c r="Q71" s="274">
        <f t="shared" si="33"/>
        <v>2025</v>
      </c>
      <c r="R71" s="274">
        <f t="shared" si="33"/>
        <v>2026</v>
      </c>
      <c r="S71" s="52"/>
      <c r="T71" s="188">
        <f t="shared" si="19"/>
        <v>0</v>
      </c>
      <c r="U71" s="35">
        <v>0</v>
      </c>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c r="BZ71" s="52"/>
      <c r="CA71" s="52"/>
      <c r="CB71" s="52"/>
      <c r="CC71" s="52"/>
      <c r="CD71" s="52"/>
      <c r="CE71" s="52"/>
      <c r="CF71" s="52"/>
      <c r="CG71" s="52"/>
      <c r="CH71" s="52"/>
      <c r="CI71" s="52"/>
      <c r="CJ71" s="52"/>
      <c r="CK71" s="52"/>
      <c r="CL71" s="52"/>
      <c r="CM71" s="52"/>
      <c r="CN71" s="52"/>
      <c r="CO71" s="52"/>
      <c r="CP71" s="52"/>
      <c r="CQ71" s="52"/>
      <c r="CR71" s="52"/>
      <c r="CS71" s="52"/>
      <c r="CT71" s="52"/>
      <c r="CU71" s="52"/>
      <c r="CV71" s="52"/>
      <c r="CW71" s="52"/>
      <c r="CX71" s="52"/>
      <c r="CY71" s="52"/>
      <c r="CZ71" s="52"/>
      <c r="DA71" s="52"/>
      <c r="DB71" s="52"/>
      <c r="DC71" s="52"/>
      <c r="DD71" s="52"/>
      <c r="DE71" s="52"/>
      <c r="DF71" s="52"/>
      <c r="DG71" s="52"/>
      <c r="DH71" s="52"/>
      <c r="DI71" s="52"/>
      <c r="DJ71" s="52"/>
      <c r="DK71" s="52"/>
      <c r="DL71" s="52"/>
      <c r="DM71" s="52"/>
      <c r="DN71" s="52"/>
      <c r="DO71" s="52"/>
      <c r="DP71" s="52"/>
      <c r="DQ71" s="52"/>
      <c r="DR71" s="52"/>
      <c r="DS71" s="52"/>
      <c r="DT71" s="52"/>
      <c r="DU71" s="52"/>
      <c r="DV71" s="52"/>
      <c r="DW71" s="52"/>
      <c r="DX71" s="52"/>
      <c r="DY71" s="52"/>
      <c r="DZ71" s="52"/>
      <c r="EA71" s="52"/>
      <c r="EB71" s="52"/>
      <c r="EC71" s="52"/>
      <c r="ED71" s="52"/>
      <c r="EE71" s="52"/>
      <c r="EF71" s="52"/>
      <c r="EG71" s="52"/>
      <c r="EH71" s="52"/>
      <c r="EI71" s="52"/>
      <c r="EJ71" s="52"/>
      <c r="EK71" s="52"/>
      <c r="EL71" s="52"/>
      <c r="EM71" s="52"/>
      <c r="EN71" s="52"/>
      <c r="EO71" s="52"/>
      <c r="EP71" s="52"/>
      <c r="EQ71" s="52"/>
      <c r="ER71" s="52"/>
      <c r="ES71" s="52"/>
      <c r="ET71" s="52"/>
      <c r="EU71" s="52"/>
      <c r="EV71" s="52"/>
      <c r="EW71" s="52"/>
      <c r="EX71" s="52"/>
      <c r="EY71" s="52"/>
      <c r="EZ71" s="52"/>
      <c r="FA71" s="52"/>
      <c r="FB71" s="52"/>
      <c r="FC71" s="52"/>
      <c r="FD71" s="52"/>
      <c r="FE71" s="52"/>
      <c r="FF71" s="52"/>
      <c r="FG71" s="52"/>
      <c r="FH71" s="52"/>
      <c r="FI71" s="52"/>
      <c r="FJ71" s="52"/>
      <c r="FK71" s="52"/>
      <c r="FL71" s="52"/>
      <c r="FM71" s="52"/>
      <c r="FN71" s="52"/>
      <c r="FO71" s="52"/>
      <c r="FP71" s="52"/>
      <c r="FQ71" s="52"/>
      <c r="FR71" s="52"/>
      <c r="FS71" s="52"/>
      <c r="FT71" s="52"/>
      <c r="FU71" s="52"/>
      <c r="FV71" s="52"/>
      <c r="FW71" s="52"/>
      <c r="FX71" s="52"/>
      <c r="FY71" s="52"/>
      <c r="FZ71" s="52"/>
      <c r="GA71" s="52"/>
      <c r="GB71" s="52"/>
      <c r="GC71" s="52"/>
      <c r="GD71" s="52"/>
      <c r="GE71" s="52"/>
      <c r="GF71" s="52"/>
      <c r="GG71" s="52"/>
      <c r="GH71" s="52"/>
      <c r="GI71" s="52"/>
      <c r="GJ71" s="52"/>
      <c r="GK71" s="52"/>
      <c r="GL71" s="52"/>
      <c r="GM71" s="52"/>
      <c r="GN71" s="52"/>
      <c r="GO71" s="52"/>
      <c r="GP71" s="52"/>
      <c r="GQ71" s="52"/>
      <c r="GR71" s="52"/>
      <c r="GS71" s="52"/>
      <c r="GT71" s="52"/>
      <c r="GU71" s="52"/>
      <c r="GV71" s="52"/>
      <c r="GW71" s="52"/>
      <c r="GX71" s="52"/>
      <c r="GY71" s="52"/>
      <c r="GZ71" s="52"/>
      <c r="HA71" s="52"/>
      <c r="HB71" s="52"/>
      <c r="HC71" s="52"/>
      <c r="HD71" s="52"/>
      <c r="HE71" s="52"/>
      <c r="HF71" s="52"/>
      <c r="HG71" s="52"/>
      <c r="HH71" s="52"/>
      <c r="HI71" s="52"/>
      <c r="HJ71" s="52"/>
      <c r="HK71" s="52"/>
      <c r="HL71" s="52"/>
      <c r="HM71" s="52"/>
      <c r="HN71" s="52"/>
      <c r="HO71" s="52"/>
      <c r="HP71" s="52"/>
      <c r="HQ71" s="52"/>
      <c r="HR71" s="52"/>
      <c r="HS71" s="52"/>
      <c r="HT71" s="52"/>
      <c r="HU71" s="52"/>
      <c r="HV71" s="52"/>
      <c r="HW71" s="52"/>
      <c r="HX71" s="52"/>
      <c r="HY71" s="52"/>
      <c r="HZ71" s="52"/>
      <c r="IA71" s="52"/>
      <c r="IB71" s="52"/>
      <c r="IC71" s="52"/>
      <c r="ID71" s="52"/>
      <c r="IE71" s="52"/>
      <c r="IF71" s="52"/>
      <c r="IG71" s="52"/>
      <c r="IH71" s="52"/>
      <c r="II71" s="52"/>
      <c r="IJ71" s="52"/>
      <c r="IK71" s="52"/>
      <c r="IL71" s="52"/>
      <c r="IM71" s="52"/>
      <c r="IN71" s="52"/>
      <c r="IO71" s="52"/>
      <c r="IP71" s="52"/>
      <c r="IQ71" s="52"/>
      <c r="IR71" s="52"/>
      <c r="IS71" s="52"/>
      <c r="IT71" s="52"/>
      <c r="IU71" s="52"/>
      <c r="IV71" s="52"/>
      <c r="IW71" s="52"/>
    </row>
    <row r="72" spans="1:258" ht="13.05" customHeight="1">
      <c r="A72" s="58"/>
      <c r="B72" s="313" t="s">
        <v>212</v>
      </c>
      <c r="C72" s="4"/>
      <c r="D72" s="4"/>
      <c r="E72" s="4"/>
      <c r="F72" s="4"/>
      <c r="G72" s="4"/>
      <c r="H72" s="4"/>
      <c r="I72" s="4"/>
      <c r="J72" s="4"/>
      <c r="K72" s="4"/>
      <c r="L72" s="4"/>
      <c r="M72" s="4"/>
      <c r="N72" s="4"/>
      <c r="O72" s="4"/>
      <c r="P72" s="4"/>
      <c r="Q72" s="4"/>
      <c r="R72" s="4"/>
      <c r="T72" s="188">
        <f t="shared" ref="T72:T103" si="34">IF(NOT(ISBLANK(B72)), 1, 0)</f>
        <v>1</v>
      </c>
      <c r="U72" s="35">
        <v>1</v>
      </c>
    </row>
    <row r="73" spans="1:258" ht="13.05" customHeight="1">
      <c r="A73" s="187"/>
      <c r="B73" s="329" t="s">
        <v>211</v>
      </c>
      <c r="C73" s="43" t="s">
        <v>129</v>
      </c>
      <c r="D73" s="43" t="s">
        <v>128</v>
      </c>
      <c r="E73" s="43"/>
      <c r="F73" s="321">
        <f>'DCF - Financials'!F35</f>
        <v>1501.2739999999997</v>
      </c>
      <c r="G73" s="321">
        <f>'DCF - Financials'!G35</f>
        <v>964.00000000000045</v>
      </c>
      <c r="H73" s="321">
        <f>'DCF - Financials'!H35</f>
        <v>977.60000000000059</v>
      </c>
      <c r="I73" s="321">
        <f>'DCF - Financials'!I35</f>
        <v>1086.0999999999999</v>
      </c>
      <c r="J73" s="321">
        <f>'DCF - Financials'!J35</f>
        <v>1147.3000000000002</v>
      </c>
      <c r="K73" s="206">
        <f>'DCF - Financials'!K35</f>
        <v>0</v>
      </c>
      <c r="L73" s="206">
        <f>'DCF - Financials'!L35</f>
        <v>0</v>
      </c>
      <c r="M73" s="206">
        <f>'DCF - Financials'!M35</f>
        <v>0</v>
      </c>
      <c r="N73" s="206">
        <f>'DCF - Financials'!N35</f>
        <v>0</v>
      </c>
      <c r="O73" s="206">
        <f>'DCF - Financials'!O35</f>
        <v>0</v>
      </c>
      <c r="P73" s="206">
        <f>'DCF - Financials'!P35</f>
        <v>0</v>
      </c>
      <c r="Q73" s="206">
        <f>'DCF - Financials'!Q35</f>
        <v>0</v>
      </c>
      <c r="R73" s="206">
        <f>'DCF - Financials'!R35</f>
        <v>0</v>
      </c>
      <c r="T73" s="188">
        <f t="shared" si="34"/>
        <v>1</v>
      </c>
      <c r="U73" s="35">
        <v>1</v>
      </c>
    </row>
    <row r="74" spans="1:258" ht="13.05" customHeight="1">
      <c r="A74" s="187"/>
      <c r="B74" s="327" t="s">
        <v>210</v>
      </c>
      <c r="C74" s="24" t="s">
        <v>129</v>
      </c>
      <c r="D74" s="4" t="s">
        <v>128</v>
      </c>
      <c r="E74" s="4"/>
      <c r="F74" s="199">
        <f>'DCF - Financials'!F37</f>
        <v>2.181</v>
      </c>
      <c r="G74" s="199">
        <f>'DCF - Financials'!G37</f>
        <v>-6.4</v>
      </c>
      <c r="H74" s="199">
        <f>'DCF - Financials'!H37</f>
        <v>-26.9</v>
      </c>
      <c r="I74" s="199">
        <f>'DCF - Financials'!I37</f>
        <v>-28.4</v>
      </c>
      <c r="J74" s="199">
        <f>'DCF - Financials'!J37</f>
        <v>-74</v>
      </c>
      <c r="K74" s="210">
        <f>'DCF - Financials'!K37</f>
        <v>0</v>
      </c>
      <c r="L74" s="210">
        <f>'DCF - Financials'!L37</f>
        <v>0</v>
      </c>
      <c r="M74" s="210">
        <f>'DCF - Financials'!M37</f>
        <v>0</v>
      </c>
      <c r="N74" s="210">
        <f>'DCF - Financials'!N37</f>
        <v>0</v>
      </c>
      <c r="O74" s="210">
        <f>'DCF - Financials'!O37</f>
        <v>0</v>
      </c>
      <c r="P74" s="210">
        <f>'DCF - Financials'!P37</f>
        <v>0</v>
      </c>
      <c r="Q74" s="210">
        <f>'DCF - Financials'!Q37</f>
        <v>0</v>
      </c>
      <c r="R74" s="210">
        <f>'DCF - Financials'!R37</f>
        <v>0</v>
      </c>
      <c r="T74" s="188">
        <f t="shared" si="34"/>
        <v>1</v>
      </c>
      <c r="U74" s="35">
        <v>1</v>
      </c>
    </row>
    <row r="75" spans="1:258" ht="13.05" customHeight="1">
      <c r="A75" s="187"/>
      <c r="B75" s="327" t="s">
        <v>209</v>
      </c>
      <c r="C75" s="24" t="s">
        <v>129</v>
      </c>
      <c r="D75" s="4" t="s">
        <v>128</v>
      </c>
      <c r="E75" s="4"/>
      <c r="F75" s="199">
        <f>'DCF - Financials'!F108</f>
        <v>0</v>
      </c>
      <c r="G75" s="199">
        <f>'DCF - Financials'!G108</f>
        <v>0</v>
      </c>
      <c r="H75" s="199">
        <f>'DCF - Financials'!H108</f>
        <v>0</v>
      </c>
      <c r="I75" s="199">
        <f>'DCF - Financials'!I108</f>
        <v>0</v>
      </c>
      <c r="J75" s="199">
        <f>'DCF - Financials'!J108</f>
        <v>0</v>
      </c>
      <c r="K75" s="210">
        <f>'DCF - Financials'!K108</f>
        <v>0</v>
      </c>
      <c r="L75" s="210">
        <f>'DCF - Financials'!L108</f>
        <v>0</v>
      </c>
      <c r="M75" s="210">
        <f>'DCF - Financials'!M108</f>
        <v>0</v>
      </c>
      <c r="N75" s="210">
        <f>'DCF - Financials'!N108</f>
        <v>0</v>
      </c>
      <c r="O75" s="210">
        <f>'DCF - Financials'!O108</f>
        <v>0</v>
      </c>
      <c r="P75" s="210">
        <f>'DCF - Financials'!P108</f>
        <v>0</v>
      </c>
      <c r="Q75" s="210">
        <f>'DCF - Financials'!Q108</f>
        <v>0</v>
      </c>
      <c r="R75" s="210">
        <f>'DCF - Financials'!R108</f>
        <v>0</v>
      </c>
      <c r="T75" s="188">
        <f t="shared" si="34"/>
        <v>1</v>
      </c>
      <c r="U75" s="35">
        <v>1</v>
      </c>
    </row>
    <row r="76" spans="1:258" ht="13.05" customHeight="1">
      <c r="A76" s="187"/>
      <c r="B76" s="327" t="s">
        <v>208</v>
      </c>
      <c r="C76" s="24" t="s">
        <v>129</v>
      </c>
      <c r="D76" s="4" t="s">
        <v>128</v>
      </c>
      <c r="E76" s="4"/>
      <c r="F76" s="328">
        <f>'DCF - Financials'!F76</f>
        <v>-219.6</v>
      </c>
      <c r="G76" s="328">
        <f>'DCF - Financials'!G76</f>
        <v>-199.3</v>
      </c>
      <c r="H76" s="328">
        <f>'DCF - Financials'!H76</f>
        <v>-396.4</v>
      </c>
      <c r="I76" s="328">
        <f>'DCF - Financials'!I76</f>
        <v>-283.10000000000002</v>
      </c>
      <c r="J76" s="328">
        <f>'DCF - Financials'!J76</f>
        <v>-267.39999999999998</v>
      </c>
      <c r="K76" s="317">
        <f>'DCF - Financials'!K76</f>
        <v>0</v>
      </c>
      <c r="L76" s="317">
        <f>'DCF - Financials'!L76</f>
        <v>0</v>
      </c>
      <c r="M76" s="317">
        <f>'DCF - Financials'!M76</f>
        <v>0</v>
      </c>
      <c r="N76" s="317">
        <f>'DCF - Financials'!N76</f>
        <v>0</v>
      </c>
      <c r="O76" s="317">
        <f>'DCF - Financials'!O76</f>
        <v>0</v>
      </c>
      <c r="P76" s="317">
        <f>'DCF - Financials'!P76</f>
        <v>0</v>
      </c>
      <c r="Q76" s="317">
        <f>'DCF - Financials'!Q76</f>
        <v>0</v>
      </c>
      <c r="R76" s="317">
        <f>'DCF - Financials'!R76</f>
        <v>0</v>
      </c>
      <c r="T76" s="188">
        <f t="shared" si="34"/>
        <v>1</v>
      </c>
      <c r="U76" s="35">
        <v>1</v>
      </c>
    </row>
    <row r="77" spans="1:258" ht="13.05" customHeight="1">
      <c r="A77" s="187"/>
      <c r="B77" s="327" t="s">
        <v>207</v>
      </c>
      <c r="C77" s="24" t="s">
        <v>129</v>
      </c>
      <c r="D77" s="4" t="s">
        <v>128</v>
      </c>
      <c r="E77" s="4"/>
      <c r="F77" s="199">
        <f>'DCF - Financials'!F41</f>
        <v>-340.91899999999998</v>
      </c>
      <c r="G77" s="199">
        <f>'DCF - Financials'!G41</f>
        <v>-209.2</v>
      </c>
      <c r="H77" s="199">
        <f>'DCF - Financials'!H41</f>
        <v>-166.1</v>
      </c>
      <c r="I77" s="199">
        <f>'DCF - Financials'!I41</f>
        <v>-168</v>
      </c>
      <c r="J77" s="199">
        <f>'DCF - Financials'!J41</f>
        <v>-199.3</v>
      </c>
      <c r="K77" s="210">
        <f>'DCF - Financials'!K41</f>
        <v>0</v>
      </c>
      <c r="L77" s="210">
        <f>'DCF - Financials'!L41</f>
        <v>0</v>
      </c>
      <c r="M77" s="210">
        <f>'DCF - Financials'!M41</f>
        <v>0</v>
      </c>
      <c r="N77" s="210">
        <f>'DCF - Financials'!N41</f>
        <v>0</v>
      </c>
      <c r="O77" s="210">
        <f>'DCF - Financials'!O41</f>
        <v>0</v>
      </c>
      <c r="P77" s="210">
        <f>'DCF - Financials'!P41</f>
        <v>0</v>
      </c>
      <c r="Q77" s="210">
        <f>'DCF - Financials'!Q41</f>
        <v>0</v>
      </c>
      <c r="R77" s="210">
        <f>'DCF - Financials'!R41</f>
        <v>0</v>
      </c>
      <c r="T77" s="188">
        <f t="shared" si="34"/>
        <v>1</v>
      </c>
      <c r="U77" s="35">
        <v>1</v>
      </c>
    </row>
    <row r="78" spans="1:258" ht="13.05" customHeight="1">
      <c r="A78" s="187"/>
      <c r="B78" s="327" t="s">
        <v>206</v>
      </c>
      <c r="C78" s="24" t="s">
        <v>129</v>
      </c>
      <c r="D78" s="4" t="s">
        <v>128</v>
      </c>
      <c r="E78" s="4"/>
      <c r="F78" s="199">
        <f>'DCF - Financials'!F106</f>
        <v>-177.6</v>
      </c>
      <c r="G78" s="199">
        <f>'DCF - Financials'!G106</f>
        <v>175.10000000000002</v>
      </c>
      <c r="H78" s="199">
        <f>'DCF - Financials'!H106</f>
        <v>-22.499999999999986</v>
      </c>
      <c r="I78" s="199">
        <f>'DCF - Financials'!I106</f>
        <v>-38.299999999999997</v>
      </c>
      <c r="J78" s="199">
        <f>'DCF - Financials'!J106</f>
        <v>111.19999999999999</v>
      </c>
      <c r="K78" s="210">
        <f>'DCF - Financials'!K106</f>
        <v>0</v>
      </c>
      <c r="L78" s="210">
        <f>'DCF - Financials'!L106</f>
        <v>0</v>
      </c>
      <c r="M78" s="210">
        <f>'DCF - Financials'!M106</f>
        <v>0</v>
      </c>
      <c r="N78" s="210">
        <f>'DCF - Financials'!N106</f>
        <v>0</v>
      </c>
      <c r="O78" s="210">
        <f>'DCF - Financials'!O106</f>
        <v>0</v>
      </c>
      <c r="P78" s="210">
        <f>'DCF - Financials'!P106</f>
        <v>0</v>
      </c>
      <c r="Q78" s="210">
        <f>'DCF - Financials'!Q106</f>
        <v>0</v>
      </c>
      <c r="R78" s="210">
        <f>'DCF - Financials'!R106</f>
        <v>0</v>
      </c>
      <c r="T78" s="188">
        <f t="shared" si="34"/>
        <v>1</v>
      </c>
      <c r="U78" s="35">
        <v>1</v>
      </c>
    </row>
    <row r="79" spans="1:258" s="306" customFormat="1" ht="13.05" customHeight="1">
      <c r="A79" s="187"/>
      <c r="B79" s="325" t="s">
        <v>205</v>
      </c>
      <c r="C79" s="171" t="s">
        <v>129</v>
      </c>
      <c r="D79" s="171" t="s">
        <v>128</v>
      </c>
      <c r="E79" s="171"/>
      <c r="F79" s="303">
        <f t="shared" ref="F79:R79" si="35">SUM(F73:F78)</f>
        <v>765.33599999999979</v>
      </c>
      <c r="G79" s="303">
        <f t="shared" si="35"/>
        <v>724.20000000000039</v>
      </c>
      <c r="H79" s="303">
        <f t="shared" si="35"/>
        <v>365.70000000000061</v>
      </c>
      <c r="I79" s="303">
        <f t="shared" si="35"/>
        <v>568.29999999999984</v>
      </c>
      <c r="J79" s="303">
        <f t="shared" si="35"/>
        <v>717.80000000000018</v>
      </c>
      <c r="K79" s="302">
        <f t="shared" si="35"/>
        <v>0</v>
      </c>
      <c r="L79" s="302">
        <f t="shared" si="35"/>
        <v>0</v>
      </c>
      <c r="M79" s="302">
        <f t="shared" si="35"/>
        <v>0</v>
      </c>
      <c r="N79" s="302">
        <f t="shared" si="35"/>
        <v>0</v>
      </c>
      <c r="O79" s="302">
        <f t="shared" si="35"/>
        <v>0</v>
      </c>
      <c r="P79" s="302">
        <f t="shared" si="35"/>
        <v>0</v>
      </c>
      <c r="Q79" s="302">
        <f t="shared" si="35"/>
        <v>0</v>
      </c>
      <c r="R79" s="302">
        <f t="shared" si="35"/>
        <v>0</v>
      </c>
      <c r="S79" s="57"/>
      <c r="T79" s="188">
        <f t="shared" si="34"/>
        <v>1</v>
      </c>
      <c r="U79" s="35">
        <v>1</v>
      </c>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7"/>
      <c r="BR79" s="57"/>
      <c r="BS79" s="57"/>
      <c r="BT79" s="57"/>
      <c r="BU79" s="57"/>
      <c r="BV79" s="57"/>
      <c r="BW79" s="57"/>
      <c r="BX79" s="57"/>
      <c r="BY79" s="57"/>
      <c r="BZ79" s="57"/>
      <c r="CA79" s="57"/>
      <c r="CB79" s="57"/>
      <c r="CC79" s="57"/>
      <c r="CD79" s="57"/>
      <c r="CE79" s="57"/>
      <c r="CF79" s="57"/>
      <c r="CG79" s="57"/>
      <c r="CH79" s="57"/>
      <c r="CI79" s="57"/>
      <c r="CJ79" s="57"/>
      <c r="CK79" s="57"/>
      <c r="CL79" s="57"/>
      <c r="CM79" s="57"/>
      <c r="CN79" s="57"/>
      <c r="CO79" s="57"/>
      <c r="CP79" s="57"/>
      <c r="CQ79" s="57"/>
      <c r="CR79" s="57"/>
      <c r="CS79" s="57"/>
      <c r="CT79" s="57"/>
    </row>
    <row r="80" spans="1:258" s="306" customFormat="1" ht="13.05" customHeight="1">
      <c r="A80" s="187"/>
      <c r="B80" s="319" t="s">
        <v>362</v>
      </c>
      <c r="C80" s="24"/>
      <c r="D80" s="4"/>
      <c r="E80" s="34"/>
      <c r="F80" s="328">
        <f>'DCF - Financials'!F77</f>
        <v>-3.8</v>
      </c>
      <c r="G80" s="328">
        <f>'DCF - Financials'!G77</f>
        <v>-519.6</v>
      </c>
      <c r="H80" s="328">
        <f>'DCF - Financials'!H77</f>
        <v>-25.6</v>
      </c>
      <c r="I80" s="328">
        <f>'DCF - Financials'!I77</f>
        <v>0</v>
      </c>
      <c r="J80" s="328">
        <f>'DCF - Financials'!J77</f>
        <v>-2375.8000000000002</v>
      </c>
      <c r="K80" s="317">
        <f>'DCF - Financials'!K77</f>
        <v>0</v>
      </c>
      <c r="L80" s="317">
        <f>'DCF - Financials'!L77</f>
        <v>0</v>
      </c>
      <c r="M80" s="317">
        <f>'DCF - Financials'!M77</f>
        <v>0</v>
      </c>
      <c r="N80" s="317">
        <f>'DCF - Financials'!N77</f>
        <v>0</v>
      </c>
      <c r="O80" s="317">
        <f>'DCF - Financials'!O77</f>
        <v>0</v>
      </c>
      <c r="P80" s="317">
        <f>'DCF - Financials'!P77</f>
        <v>0</v>
      </c>
      <c r="Q80" s="317">
        <f>'DCF - Financials'!Q77</f>
        <v>0</v>
      </c>
      <c r="R80" s="317">
        <f>'DCF - Financials'!R77</f>
        <v>0</v>
      </c>
      <c r="S80" s="57"/>
      <c r="T80" s="188">
        <f t="shared" si="34"/>
        <v>1</v>
      </c>
      <c r="U80" s="35">
        <v>1</v>
      </c>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c r="BS80" s="57"/>
      <c r="BT80" s="57"/>
      <c r="BU80" s="57"/>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row>
    <row r="81" spans="1:98" s="306" customFormat="1" ht="13.05" customHeight="1">
      <c r="A81" s="187"/>
      <c r="B81" s="319" t="s">
        <v>364</v>
      </c>
      <c r="C81" s="24" t="s">
        <v>129</v>
      </c>
      <c r="D81" s="4" t="s">
        <v>128</v>
      </c>
      <c r="E81" s="34"/>
      <c r="F81" s="328">
        <f>'DCF - Financials'!F78</f>
        <v>-484.3</v>
      </c>
      <c r="G81" s="328">
        <f>'DCF - Financials'!G78</f>
        <v>106</v>
      </c>
      <c r="H81" s="328">
        <f>'DCF - Financials'!H78</f>
        <v>-388</v>
      </c>
      <c r="I81" s="328">
        <f>'DCF - Financials'!I78</f>
        <v>876.1</v>
      </c>
      <c r="J81" s="328">
        <f>'DCF - Financials'!J78</f>
        <v>478.4</v>
      </c>
      <c r="K81" s="317">
        <f>'DCF - Financials'!K78</f>
        <v>0</v>
      </c>
      <c r="L81" s="317">
        <f>'DCF - Financials'!L78</f>
        <v>0</v>
      </c>
      <c r="M81" s="317">
        <f>'DCF - Financials'!M78</f>
        <v>0</v>
      </c>
      <c r="N81" s="317">
        <f>'DCF - Financials'!N78</f>
        <v>0</v>
      </c>
      <c r="O81" s="317">
        <f>'DCF - Financials'!O78</f>
        <v>0</v>
      </c>
      <c r="P81" s="317">
        <f>'DCF - Financials'!P78</f>
        <v>0</v>
      </c>
      <c r="Q81" s="317">
        <f>'DCF - Financials'!Q78</f>
        <v>0</v>
      </c>
      <c r="R81" s="317">
        <f>'DCF - Financials'!R78</f>
        <v>0</v>
      </c>
      <c r="S81" s="57"/>
      <c r="T81" s="188">
        <f t="shared" si="34"/>
        <v>1</v>
      </c>
      <c r="U81" s="35">
        <v>1</v>
      </c>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7"/>
      <c r="BN81" s="57"/>
      <c r="BO81" s="57"/>
      <c r="BP81" s="57"/>
      <c r="BQ81" s="57"/>
      <c r="BR81" s="57"/>
      <c r="BS81" s="57"/>
      <c r="BT81" s="57"/>
      <c r="BU81" s="57"/>
      <c r="BV81" s="57"/>
      <c r="BW81" s="57"/>
      <c r="BX81" s="57"/>
      <c r="BY81" s="57"/>
      <c r="BZ81" s="57"/>
      <c r="CA81" s="57"/>
      <c r="CB81" s="57"/>
      <c r="CC81" s="57"/>
      <c r="CD81" s="57"/>
      <c r="CE81" s="57"/>
      <c r="CF81" s="57"/>
      <c r="CG81" s="57"/>
      <c r="CH81" s="57"/>
      <c r="CI81" s="57"/>
      <c r="CJ81" s="57"/>
      <c r="CK81" s="57"/>
      <c r="CL81" s="57"/>
      <c r="CM81" s="57"/>
      <c r="CN81" s="57"/>
      <c r="CO81" s="57"/>
      <c r="CP81" s="57"/>
      <c r="CQ81" s="57"/>
      <c r="CR81" s="57"/>
      <c r="CS81" s="57"/>
      <c r="CT81" s="57"/>
    </row>
    <row r="82" spans="1:98" s="306" customFormat="1" ht="13.05" customHeight="1">
      <c r="A82" s="187"/>
      <c r="B82" s="319" t="s">
        <v>204</v>
      </c>
      <c r="C82" s="24" t="s">
        <v>129</v>
      </c>
      <c r="D82" s="4" t="s">
        <v>128</v>
      </c>
      <c r="E82" s="34"/>
      <c r="F82" s="328">
        <f>'DCF - Financials'!F107</f>
        <v>13.800000000000004</v>
      </c>
      <c r="G82" s="328">
        <f>'DCF - Financials'!G107</f>
        <v>4.8999999999999986</v>
      </c>
      <c r="H82" s="328">
        <f>'DCF - Financials'!H107</f>
        <v>4.6000000000000014</v>
      </c>
      <c r="I82" s="328">
        <f>'DCF - Financials'!I107</f>
        <v>35.300000000000004</v>
      </c>
      <c r="J82" s="328">
        <f>'DCF - Financials'!J107</f>
        <v>134.19999999999999</v>
      </c>
      <c r="K82" s="317">
        <f>'DCF - Financials'!K107</f>
        <v>0</v>
      </c>
      <c r="L82" s="317">
        <f>'DCF - Financials'!L107</f>
        <v>0</v>
      </c>
      <c r="M82" s="317">
        <f>'DCF - Financials'!M107</f>
        <v>0</v>
      </c>
      <c r="N82" s="317">
        <f>'DCF - Financials'!N107</f>
        <v>0</v>
      </c>
      <c r="O82" s="317">
        <f>'DCF - Financials'!O107</f>
        <v>0</v>
      </c>
      <c r="P82" s="317">
        <f>'DCF - Financials'!P107</f>
        <v>0</v>
      </c>
      <c r="Q82" s="317">
        <f>'DCF - Financials'!Q107</f>
        <v>0</v>
      </c>
      <c r="R82" s="317">
        <f>'DCF - Financials'!R107</f>
        <v>0</v>
      </c>
      <c r="S82" s="57"/>
      <c r="T82" s="188">
        <f t="shared" si="34"/>
        <v>1</v>
      </c>
      <c r="U82" s="35">
        <v>1</v>
      </c>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c r="BQ82" s="57"/>
      <c r="BR82" s="57"/>
      <c r="BS82" s="57"/>
      <c r="BT82" s="57"/>
      <c r="BU82" s="57"/>
      <c r="BV82" s="57"/>
      <c r="BW82" s="57"/>
      <c r="BX82" s="57"/>
      <c r="BY82" s="57"/>
      <c r="BZ82" s="57"/>
      <c r="CA82" s="57"/>
      <c r="CB82" s="57"/>
      <c r="CC82" s="57"/>
      <c r="CD82" s="57"/>
      <c r="CE82" s="57"/>
      <c r="CF82" s="57"/>
      <c r="CG82" s="57"/>
      <c r="CH82" s="57"/>
      <c r="CI82" s="57"/>
      <c r="CJ82" s="57"/>
      <c r="CK82" s="57"/>
      <c r="CL82" s="57"/>
      <c r="CM82" s="57"/>
      <c r="CN82" s="57"/>
      <c r="CO82" s="57"/>
      <c r="CP82" s="57"/>
      <c r="CQ82" s="57"/>
      <c r="CR82" s="57"/>
      <c r="CS82" s="57"/>
      <c r="CT82" s="57"/>
    </row>
    <row r="83" spans="1:98" s="306" customFormat="1" ht="13.05" customHeight="1">
      <c r="A83" s="187"/>
      <c r="B83" s="327" t="s">
        <v>203</v>
      </c>
      <c r="C83" s="24" t="s">
        <v>129</v>
      </c>
      <c r="D83" s="4" t="s">
        <v>128</v>
      </c>
      <c r="E83" s="34"/>
      <c r="F83" s="323">
        <f t="shared" ref="F83:R83" si="36">F27</f>
        <v>0</v>
      </c>
      <c r="G83" s="323">
        <f t="shared" si="36"/>
        <v>-0.5</v>
      </c>
      <c r="H83" s="323">
        <f t="shared" si="36"/>
        <v>-15</v>
      </c>
      <c r="I83" s="323">
        <f t="shared" si="36"/>
        <v>-285</v>
      </c>
      <c r="J83" s="323">
        <f t="shared" si="36"/>
        <v>-1100</v>
      </c>
      <c r="K83" s="326">
        <f t="shared" si="36"/>
        <v>0</v>
      </c>
      <c r="L83" s="326">
        <f t="shared" si="36"/>
        <v>0</v>
      </c>
      <c r="M83" s="326">
        <f t="shared" si="36"/>
        <v>0</v>
      </c>
      <c r="N83" s="326">
        <f t="shared" si="36"/>
        <v>0</v>
      </c>
      <c r="O83" s="326">
        <f t="shared" si="36"/>
        <v>0</v>
      </c>
      <c r="P83" s="326">
        <f t="shared" si="36"/>
        <v>0</v>
      </c>
      <c r="Q83" s="326">
        <f t="shared" si="36"/>
        <v>0</v>
      </c>
      <c r="R83" s="326">
        <f t="shared" si="36"/>
        <v>0</v>
      </c>
      <c r="S83" s="57"/>
      <c r="T83" s="188">
        <f t="shared" si="34"/>
        <v>1</v>
      </c>
      <c r="U83" s="35">
        <v>1</v>
      </c>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c r="BS83" s="57"/>
      <c r="BT83" s="57"/>
      <c r="BU83" s="57"/>
      <c r="BV83" s="57"/>
      <c r="BW83" s="57"/>
      <c r="BX83" s="57"/>
      <c r="BY83" s="57"/>
      <c r="BZ83" s="57"/>
      <c r="CA83" s="57"/>
      <c r="CB83" s="57"/>
      <c r="CC83" s="57"/>
      <c r="CD83" s="57"/>
      <c r="CE83" s="57"/>
      <c r="CF83" s="57"/>
      <c r="CG83" s="57"/>
      <c r="CH83" s="57"/>
      <c r="CI83" s="57"/>
      <c r="CJ83" s="57"/>
      <c r="CK83" s="57"/>
      <c r="CL83" s="57"/>
      <c r="CM83" s="57"/>
      <c r="CN83" s="57"/>
      <c r="CO83" s="57"/>
      <c r="CP83" s="57"/>
      <c r="CQ83" s="57"/>
      <c r="CR83" s="57"/>
      <c r="CS83" s="57"/>
      <c r="CT83" s="57"/>
    </row>
    <row r="84" spans="1:98" s="306" customFormat="1" ht="13.05" customHeight="1">
      <c r="A84" s="187"/>
      <c r="B84" s="325" t="s">
        <v>202</v>
      </c>
      <c r="C84" s="171" t="s">
        <v>129</v>
      </c>
      <c r="D84" s="171" t="s">
        <v>128</v>
      </c>
      <c r="E84" s="171"/>
      <c r="F84" s="303">
        <f t="shared" ref="F84:R84" si="37">SUM(F79:F83)</f>
        <v>291.03599999999983</v>
      </c>
      <c r="G84" s="303">
        <f t="shared" si="37"/>
        <v>315.00000000000034</v>
      </c>
      <c r="H84" s="303">
        <f t="shared" si="37"/>
        <v>-58.299999999999407</v>
      </c>
      <c r="I84" s="303">
        <f t="shared" si="37"/>
        <v>1194.6999999999998</v>
      </c>
      <c r="J84" s="303">
        <f t="shared" si="37"/>
        <v>-2145.3999999999996</v>
      </c>
      <c r="K84" s="303">
        <f t="shared" si="37"/>
        <v>0</v>
      </c>
      <c r="L84" s="303">
        <f t="shared" si="37"/>
        <v>0</v>
      </c>
      <c r="M84" s="303">
        <f t="shared" si="37"/>
        <v>0</v>
      </c>
      <c r="N84" s="303">
        <f t="shared" si="37"/>
        <v>0</v>
      </c>
      <c r="O84" s="303">
        <f t="shared" si="37"/>
        <v>0</v>
      </c>
      <c r="P84" s="303">
        <f t="shared" si="37"/>
        <v>0</v>
      </c>
      <c r="Q84" s="303">
        <f t="shared" si="37"/>
        <v>0</v>
      </c>
      <c r="R84" s="303">
        <f t="shared" si="37"/>
        <v>0</v>
      </c>
      <c r="S84" s="57"/>
      <c r="T84" s="188">
        <f t="shared" si="34"/>
        <v>1</v>
      </c>
      <c r="U84" s="35">
        <v>1</v>
      </c>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7"/>
      <c r="BR84" s="57"/>
      <c r="BS84" s="57"/>
      <c r="BT84" s="57"/>
      <c r="BU84" s="57"/>
      <c r="BV84" s="57"/>
      <c r="BW84" s="57"/>
      <c r="BX84" s="57"/>
      <c r="BY84" s="57"/>
      <c r="BZ84" s="57"/>
      <c r="CA84" s="57"/>
      <c r="CB84" s="57"/>
      <c r="CC84" s="57"/>
      <c r="CD84" s="57"/>
      <c r="CE84" s="57"/>
      <c r="CF84" s="57"/>
      <c r="CG84" s="57"/>
      <c r="CH84" s="57"/>
      <c r="CI84" s="57"/>
      <c r="CJ84" s="57"/>
      <c r="CK84" s="57"/>
      <c r="CL84" s="57"/>
      <c r="CM84" s="57"/>
      <c r="CN84" s="57"/>
      <c r="CO84" s="57"/>
      <c r="CP84" s="57"/>
      <c r="CQ84" s="57"/>
      <c r="CR84" s="57"/>
      <c r="CS84" s="57"/>
      <c r="CT84" s="57"/>
    </row>
    <row r="85" spans="1:98" s="306" customFormat="1" ht="13.05" customHeight="1">
      <c r="A85" s="187"/>
      <c r="B85" s="324"/>
      <c r="C85" s="34"/>
      <c r="D85" s="34"/>
      <c r="E85" s="34"/>
      <c r="F85" s="323"/>
      <c r="G85" s="323"/>
      <c r="H85" s="323"/>
      <c r="I85" s="323"/>
      <c r="J85" s="323"/>
      <c r="K85" s="323"/>
      <c r="L85" s="323"/>
      <c r="M85" s="323"/>
      <c r="N85" s="323"/>
      <c r="O85" s="323"/>
      <c r="P85" s="323"/>
      <c r="Q85" s="323"/>
      <c r="R85" s="323"/>
      <c r="S85" s="57"/>
      <c r="T85" s="188">
        <f t="shared" si="34"/>
        <v>0</v>
      </c>
      <c r="U85" s="35">
        <v>0</v>
      </c>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c r="BL85" s="57"/>
      <c r="BM85" s="57"/>
      <c r="BN85" s="57"/>
      <c r="BO85" s="57"/>
      <c r="BP85" s="57"/>
      <c r="BQ85" s="57"/>
      <c r="BR85" s="57"/>
      <c r="BS85" s="57"/>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row>
    <row r="86" spans="1:98" ht="13.05" customHeight="1">
      <c r="A86" s="187"/>
      <c r="B86" s="230" t="s">
        <v>201</v>
      </c>
      <c r="C86" s="62" t="s">
        <v>129</v>
      </c>
      <c r="D86" s="62" t="s">
        <v>128</v>
      </c>
      <c r="E86" s="34"/>
      <c r="F86" s="199">
        <f>'DCF - Financials'!F$99</f>
        <v>1062.8</v>
      </c>
      <c r="G86" s="199">
        <f>'DCF - Financials'!G$99</f>
        <v>591.9</v>
      </c>
      <c r="H86" s="199">
        <f>'DCF - Financials'!H$99</f>
        <v>1291.8</v>
      </c>
      <c r="I86" s="199">
        <f>'DCF - Financials'!I$99</f>
        <v>859</v>
      </c>
      <c r="J86" s="199">
        <f>'DCF - Financials'!J$99</f>
        <v>2672.9</v>
      </c>
      <c r="K86" s="210">
        <f>'DCF - Financials'!K$99</f>
        <v>0</v>
      </c>
      <c r="L86" s="210">
        <f>'DCF - Financials'!L$99</f>
        <v>0</v>
      </c>
      <c r="M86" s="210">
        <f>'DCF - Financials'!M$99</f>
        <v>0</v>
      </c>
      <c r="N86" s="210">
        <f>'DCF - Financials'!N$99</f>
        <v>0</v>
      </c>
      <c r="O86" s="210">
        <f>'DCF - Financials'!O$99</f>
        <v>0</v>
      </c>
      <c r="P86" s="210">
        <f>'DCF - Financials'!P$99</f>
        <v>0</v>
      </c>
      <c r="Q86" s="210">
        <f>'DCF - Financials'!Q$99</f>
        <v>0</v>
      </c>
      <c r="R86" s="210">
        <f>'DCF - Financials'!R$99</f>
        <v>0</v>
      </c>
      <c r="T86" s="188">
        <f t="shared" si="34"/>
        <v>1</v>
      </c>
      <c r="U86" s="35">
        <v>1</v>
      </c>
    </row>
    <row r="87" spans="1:98" ht="13.05" customHeight="1">
      <c r="A87" s="187"/>
      <c r="B87" s="230" t="s">
        <v>338</v>
      </c>
      <c r="C87" s="62" t="s">
        <v>129</v>
      </c>
      <c r="D87" s="62" t="s">
        <v>178</v>
      </c>
      <c r="E87" s="34"/>
      <c r="F87" s="209">
        <v>0</v>
      </c>
      <c r="G87" s="209">
        <v>0</v>
      </c>
      <c r="H87" s="209">
        <v>0</v>
      </c>
      <c r="I87" s="209">
        <v>0</v>
      </c>
      <c r="J87" s="209">
        <v>0</v>
      </c>
      <c r="K87" s="322"/>
      <c r="L87" s="322"/>
      <c r="M87" s="322"/>
      <c r="N87" s="322"/>
      <c r="O87" s="322"/>
      <c r="P87" s="322"/>
      <c r="Q87" s="322"/>
      <c r="R87" s="322"/>
      <c r="T87" s="188">
        <f t="shared" si="34"/>
        <v>1</v>
      </c>
      <c r="U87" s="35">
        <v>1</v>
      </c>
    </row>
    <row r="88" spans="1:98" ht="13.05" customHeight="1">
      <c r="A88" s="187"/>
      <c r="B88" s="307" t="s">
        <v>366</v>
      </c>
      <c r="C88" s="225" t="s">
        <v>129</v>
      </c>
      <c r="D88" s="225" t="s">
        <v>128</v>
      </c>
      <c r="E88" s="225"/>
      <c r="F88" s="321">
        <f t="shared" ref="F88:R88" si="38">SUM(F86:F87)</f>
        <v>1062.8</v>
      </c>
      <c r="G88" s="321">
        <f t="shared" si="38"/>
        <v>591.9</v>
      </c>
      <c r="H88" s="321">
        <f t="shared" si="38"/>
        <v>1291.8</v>
      </c>
      <c r="I88" s="321">
        <f t="shared" si="38"/>
        <v>859</v>
      </c>
      <c r="J88" s="321">
        <f t="shared" si="38"/>
        <v>2672.9</v>
      </c>
      <c r="K88" s="206">
        <f t="shared" si="38"/>
        <v>0</v>
      </c>
      <c r="L88" s="206">
        <f t="shared" si="38"/>
        <v>0</v>
      </c>
      <c r="M88" s="206">
        <f t="shared" si="38"/>
        <v>0</v>
      </c>
      <c r="N88" s="206">
        <f t="shared" si="38"/>
        <v>0</v>
      </c>
      <c r="O88" s="206">
        <f t="shared" si="38"/>
        <v>0</v>
      </c>
      <c r="P88" s="206">
        <f t="shared" si="38"/>
        <v>0</v>
      </c>
      <c r="Q88" s="206">
        <f t="shared" si="38"/>
        <v>0</v>
      </c>
      <c r="R88" s="206">
        <f t="shared" si="38"/>
        <v>0</v>
      </c>
      <c r="T88" s="188">
        <f t="shared" si="34"/>
        <v>1</v>
      </c>
      <c r="U88" s="35">
        <v>1</v>
      </c>
    </row>
    <row r="89" spans="1:98" s="306" customFormat="1" ht="13.05" customHeight="1">
      <c r="A89" s="315"/>
      <c r="B89" s="307" t="s">
        <v>200</v>
      </c>
      <c r="C89" s="171" t="s">
        <v>129</v>
      </c>
      <c r="D89" s="171" t="s">
        <v>128</v>
      </c>
      <c r="E89" s="157"/>
      <c r="F89" s="314">
        <f t="shared" ref="F89:R89" si="39">MIN(F88+F84,0)</f>
        <v>0</v>
      </c>
      <c r="G89" s="314">
        <f t="shared" si="39"/>
        <v>0</v>
      </c>
      <c r="H89" s="314">
        <f t="shared" si="39"/>
        <v>0</v>
      </c>
      <c r="I89" s="314">
        <f t="shared" si="39"/>
        <v>0</v>
      </c>
      <c r="J89" s="314">
        <f t="shared" si="39"/>
        <v>0</v>
      </c>
      <c r="K89" s="206">
        <f t="shared" si="39"/>
        <v>0</v>
      </c>
      <c r="L89" s="206">
        <f t="shared" si="39"/>
        <v>0</v>
      </c>
      <c r="M89" s="206">
        <f t="shared" si="39"/>
        <v>0</v>
      </c>
      <c r="N89" s="206">
        <f t="shared" si="39"/>
        <v>0</v>
      </c>
      <c r="O89" s="206">
        <f t="shared" si="39"/>
        <v>0</v>
      </c>
      <c r="P89" s="206">
        <f t="shared" si="39"/>
        <v>0</v>
      </c>
      <c r="Q89" s="206">
        <f t="shared" si="39"/>
        <v>0</v>
      </c>
      <c r="R89" s="206">
        <f t="shared" si="39"/>
        <v>0</v>
      </c>
      <c r="S89" s="57"/>
      <c r="T89" s="188">
        <f t="shared" si="34"/>
        <v>1</v>
      </c>
      <c r="U89" s="35">
        <v>1</v>
      </c>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7"/>
      <c r="BN89" s="57"/>
      <c r="BO89" s="57"/>
      <c r="BP89" s="57"/>
      <c r="BQ89" s="57"/>
      <c r="BR89" s="57"/>
      <c r="BS89" s="57"/>
      <c r="BT89" s="57"/>
      <c r="BU89" s="57"/>
      <c r="BV89" s="57"/>
      <c r="BW89" s="57"/>
      <c r="BX89" s="57"/>
      <c r="BY89" s="57"/>
      <c r="BZ89" s="57"/>
      <c r="CA89" s="57"/>
      <c r="CB89" s="57"/>
      <c r="CC89" s="57"/>
      <c r="CD89" s="57"/>
      <c r="CE89" s="57"/>
      <c r="CF89" s="57"/>
      <c r="CG89" s="57"/>
      <c r="CH89" s="57"/>
      <c r="CI89" s="57"/>
      <c r="CJ89" s="57"/>
      <c r="CK89" s="57"/>
      <c r="CL89" s="57"/>
      <c r="CM89" s="57"/>
      <c r="CN89" s="57"/>
      <c r="CO89" s="57"/>
      <c r="CP89" s="57"/>
      <c r="CQ89" s="57"/>
      <c r="CR89" s="57"/>
      <c r="CS89" s="57"/>
      <c r="CT89" s="57"/>
    </row>
    <row r="90" spans="1:98" s="4" customFormat="1" ht="13.05" customHeight="1">
      <c r="A90" s="90"/>
      <c r="B90" s="230" t="s">
        <v>199</v>
      </c>
      <c r="C90" s="4" t="s">
        <v>129</v>
      </c>
      <c r="D90" s="4" t="s">
        <v>128</v>
      </c>
      <c r="E90" s="62"/>
      <c r="F90" s="281">
        <f t="shared" ref="F90:R90" si="40">MAX(F88+F84,0)</f>
        <v>1353.8359999999998</v>
      </c>
      <c r="G90" s="281">
        <f t="shared" si="40"/>
        <v>906.90000000000032</v>
      </c>
      <c r="H90" s="281">
        <f t="shared" si="40"/>
        <v>1233.5000000000005</v>
      </c>
      <c r="I90" s="281">
        <f t="shared" si="40"/>
        <v>2053.6999999999998</v>
      </c>
      <c r="J90" s="281">
        <f t="shared" si="40"/>
        <v>527.50000000000045</v>
      </c>
      <c r="K90" s="210">
        <f t="shared" si="40"/>
        <v>0</v>
      </c>
      <c r="L90" s="210">
        <f t="shared" si="40"/>
        <v>0</v>
      </c>
      <c r="M90" s="210">
        <f t="shared" si="40"/>
        <v>0</v>
      </c>
      <c r="N90" s="210">
        <f t="shared" si="40"/>
        <v>0</v>
      </c>
      <c r="O90" s="210">
        <f t="shared" si="40"/>
        <v>0</v>
      </c>
      <c r="P90" s="210">
        <f t="shared" si="40"/>
        <v>0</v>
      </c>
      <c r="Q90" s="210">
        <f t="shared" si="40"/>
        <v>0</v>
      </c>
      <c r="R90" s="210">
        <f t="shared" si="40"/>
        <v>0</v>
      </c>
      <c r="S90" s="320"/>
      <c r="T90" s="188">
        <f t="shared" si="34"/>
        <v>1</v>
      </c>
      <c r="U90" s="35">
        <v>1</v>
      </c>
      <c r="V90" s="320"/>
      <c r="W90" s="320"/>
      <c r="X90" s="320"/>
      <c r="Y90" s="320"/>
      <c r="Z90" s="320"/>
      <c r="AA90" s="320"/>
      <c r="AB90" s="320"/>
      <c r="AC90" s="320"/>
      <c r="AD90" s="320"/>
      <c r="AE90" s="320"/>
      <c r="AF90" s="320"/>
      <c r="AG90" s="320"/>
      <c r="AH90" s="320"/>
      <c r="AI90" s="320"/>
      <c r="AJ90" s="320"/>
      <c r="AK90" s="320"/>
      <c r="AL90" s="320"/>
      <c r="AM90" s="320"/>
      <c r="AN90" s="320"/>
      <c r="AO90" s="320"/>
      <c r="AP90" s="320"/>
      <c r="AQ90" s="320"/>
      <c r="AR90" s="320"/>
      <c r="AS90" s="320"/>
      <c r="AT90" s="320"/>
      <c r="AU90" s="320"/>
      <c r="AV90" s="320"/>
      <c r="AW90" s="320"/>
      <c r="AX90" s="320"/>
      <c r="AY90" s="320"/>
      <c r="AZ90" s="320"/>
      <c r="BA90" s="320"/>
      <c r="BB90" s="320"/>
      <c r="BC90" s="320"/>
      <c r="BD90" s="320"/>
      <c r="BE90" s="320"/>
      <c r="BF90" s="320"/>
      <c r="BG90" s="320"/>
      <c r="BH90" s="320"/>
      <c r="BI90" s="320"/>
      <c r="BJ90" s="320"/>
      <c r="BK90" s="320"/>
      <c r="BL90" s="320"/>
      <c r="BM90" s="320"/>
      <c r="BN90" s="320"/>
      <c r="BO90" s="320"/>
      <c r="BP90" s="320"/>
      <c r="BQ90" s="320"/>
      <c r="BR90" s="320"/>
      <c r="BS90" s="320"/>
      <c r="BT90" s="320"/>
      <c r="BU90" s="320"/>
      <c r="BV90" s="320"/>
      <c r="BW90" s="320"/>
      <c r="BX90" s="320"/>
      <c r="BY90" s="320"/>
      <c r="BZ90" s="320"/>
      <c r="CA90" s="320"/>
      <c r="CB90" s="320"/>
      <c r="CC90" s="320"/>
      <c r="CD90" s="320"/>
      <c r="CE90" s="320"/>
      <c r="CF90" s="320"/>
      <c r="CG90" s="320"/>
      <c r="CH90" s="320"/>
      <c r="CI90" s="320"/>
      <c r="CJ90" s="320"/>
      <c r="CK90" s="320"/>
      <c r="CL90" s="320"/>
      <c r="CM90" s="320"/>
      <c r="CN90" s="320"/>
      <c r="CO90" s="320"/>
      <c r="CP90" s="320"/>
      <c r="CQ90" s="320"/>
      <c r="CR90" s="320"/>
      <c r="CS90" s="320"/>
      <c r="CT90" s="320"/>
    </row>
    <row r="91" spans="1:98" s="306" customFormat="1" ht="13.05" customHeight="1">
      <c r="A91" s="187"/>
      <c r="B91" s="319" t="s">
        <v>198</v>
      </c>
      <c r="C91" s="24" t="s">
        <v>129</v>
      </c>
      <c r="D91" s="4" t="s">
        <v>128</v>
      </c>
      <c r="E91" s="34"/>
      <c r="F91" s="318">
        <f t="shared" ref="F91:R91" si="41">F35</f>
        <v>0</v>
      </c>
      <c r="G91" s="318">
        <f t="shared" si="41"/>
        <v>0</v>
      </c>
      <c r="H91" s="318">
        <f t="shared" si="41"/>
        <v>0</v>
      </c>
      <c r="I91" s="318">
        <f t="shared" si="41"/>
        <v>0</v>
      </c>
      <c r="J91" s="318">
        <f t="shared" si="41"/>
        <v>0</v>
      </c>
      <c r="K91" s="317">
        <f t="shared" si="41"/>
        <v>0</v>
      </c>
      <c r="L91" s="317">
        <f t="shared" si="41"/>
        <v>0</v>
      </c>
      <c r="M91" s="317">
        <f t="shared" si="41"/>
        <v>0</v>
      </c>
      <c r="N91" s="317">
        <f t="shared" si="41"/>
        <v>0</v>
      </c>
      <c r="O91" s="317">
        <f t="shared" si="41"/>
        <v>0</v>
      </c>
      <c r="P91" s="317">
        <f t="shared" si="41"/>
        <v>0</v>
      </c>
      <c r="Q91" s="317">
        <f t="shared" si="41"/>
        <v>0</v>
      </c>
      <c r="R91" s="317">
        <f t="shared" si="41"/>
        <v>0</v>
      </c>
      <c r="S91" s="57"/>
      <c r="T91" s="188">
        <f t="shared" si="34"/>
        <v>1</v>
      </c>
      <c r="U91" s="35">
        <v>1</v>
      </c>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7"/>
      <c r="BS91" s="57"/>
      <c r="BT91" s="57"/>
      <c r="BU91" s="57"/>
      <c r="BV91" s="57"/>
      <c r="BW91" s="57"/>
      <c r="BX91" s="57"/>
      <c r="BY91" s="57"/>
      <c r="BZ91" s="57"/>
      <c r="CA91" s="57"/>
      <c r="CB91" s="57"/>
      <c r="CC91" s="57"/>
      <c r="CD91" s="57"/>
      <c r="CE91" s="57"/>
      <c r="CF91" s="57"/>
      <c r="CG91" s="57"/>
      <c r="CH91" s="57"/>
      <c r="CI91" s="57"/>
      <c r="CJ91" s="57"/>
      <c r="CK91" s="57"/>
      <c r="CL91" s="57"/>
      <c r="CM91" s="57"/>
      <c r="CN91" s="57"/>
      <c r="CO91" s="57"/>
      <c r="CP91" s="57"/>
      <c r="CQ91" s="57"/>
      <c r="CR91" s="57"/>
      <c r="CS91" s="57"/>
      <c r="CT91" s="57"/>
    </row>
    <row r="92" spans="1:98" ht="13.05" customHeight="1">
      <c r="A92" s="187"/>
      <c r="B92" s="316" t="s">
        <v>197</v>
      </c>
      <c r="C92" s="24" t="s">
        <v>129</v>
      </c>
      <c r="D92" s="4" t="s">
        <v>128</v>
      </c>
      <c r="E92" s="4"/>
      <c r="F92" s="281">
        <f t="shared" ref="F92:R92" si="42">F26+F36</f>
        <v>0</v>
      </c>
      <c r="G92" s="281">
        <f t="shared" si="42"/>
        <v>896.7</v>
      </c>
      <c r="H92" s="281">
        <f t="shared" si="42"/>
        <v>0</v>
      </c>
      <c r="I92" s="281">
        <f t="shared" si="42"/>
        <v>997.2</v>
      </c>
      <c r="J92" s="281">
        <f t="shared" si="42"/>
        <v>1100</v>
      </c>
      <c r="K92" s="210">
        <f t="shared" si="42"/>
        <v>0</v>
      </c>
      <c r="L92" s="210">
        <f t="shared" si="42"/>
        <v>0</v>
      </c>
      <c r="M92" s="210">
        <f t="shared" si="42"/>
        <v>0</v>
      </c>
      <c r="N92" s="210">
        <f t="shared" si="42"/>
        <v>0</v>
      </c>
      <c r="O92" s="210">
        <f t="shared" si="42"/>
        <v>0</v>
      </c>
      <c r="P92" s="210">
        <f t="shared" si="42"/>
        <v>0</v>
      </c>
      <c r="Q92" s="210">
        <f t="shared" si="42"/>
        <v>0</v>
      </c>
      <c r="R92" s="210">
        <f t="shared" si="42"/>
        <v>0</v>
      </c>
      <c r="T92" s="188">
        <f t="shared" si="34"/>
        <v>1</v>
      </c>
      <c r="U92" s="35">
        <v>1</v>
      </c>
    </row>
    <row r="93" spans="1:98" ht="13.05" customHeight="1">
      <c r="A93" s="187"/>
      <c r="B93" s="316" t="s">
        <v>196</v>
      </c>
      <c r="C93" s="24" t="s">
        <v>129</v>
      </c>
      <c r="D93" s="4" t="s">
        <v>128</v>
      </c>
      <c r="E93" s="4"/>
      <c r="F93" s="281">
        <f t="shared" ref="F93:R93" si="43">F11</f>
        <v>0</v>
      </c>
      <c r="G93" s="281">
        <f t="shared" si="43"/>
        <v>-0.5</v>
      </c>
      <c r="H93" s="281">
        <f t="shared" si="43"/>
        <v>-15</v>
      </c>
      <c r="I93" s="281">
        <f t="shared" si="43"/>
        <v>-285</v>
      </c>
      <c r="J93" s="281">
        <f t="shared" si="43"/>
        <v>-1100</v>
      </c>
      <c r="K93" s="210">
        <f t="shared" si="43"/>
        <v>0</v>
      </c>
      <c r="L93" s="210">
        <f t="shared" si="43"/>
        <v>0</v>
      </c>
      <c r="M93" s="210">
        <f t="shared" si="43"/>
        <v>0</v>
      </c>
      <c r="N93" s="210">
        <f t="shared" si="43"/>
        <v>0</v>
      </c>
      <c r="O93" s="210">
        <f t="shared" si="43"/>
        <v>0</v>
      </c>
      <c r="P93" s="210">
        <f t="shared" si="43"/>
        <v>0</v>
      </c>
      <c r="Q93" s="210">
        <f t="shared" si="43"/>
        <v>0</v>
      </c>
      <c r="R93" s="210">
        <f t="shared" si="43"/>
        <v>0</v>
      </c>
      <c r="T93" s="188">
        <f t="shared" si="34"/>
        <v>1</v>
      </c>
      <c r="U93" s="35">
        <v>1</v>
      </c>
    </row>
    <row r="94" spans="1:98" ht="13.05" customHeight="1">
      <c r="A94" s="187"/>
      <c r="B94" s="316" t="s">
        <v>195</v>
      </c>
      <c r="C94" s="24" t="s">
        <v>129</v>
      </c>
      <c r="D94" s="4" t="s">
        <v>128</v>
      </c>
      <c r="E94" s="4"/>
      <c r="F94" s="281"/>
      <c r="G94" s="281"/>
      <c r="H94" s="281"/>
      <c r="I94" s="281"/>
      <c r="J94" s="281"/>
      <c r="K94" s="210"/>
      <c r="L94" s="210"/>
      <c r="M94" s="210"/>
      <c r="N94" s="210"/>
      <c r="O94" s="210"/>
      <c r="P94" s="210"/>
      <c r="Q94" s="210"/>
      <c r="R94" s="210"/>
      <c r="T94" s="188">
        <f t="shared" si="34"/>
        <v>1</v>
      </c>
      <c r="U94" s="35">
        <v>1</v>
      </c>
    </row>
    <row r="95" spans="1:98" s="306" customFormat="1" ht="13.05" customHeight="1">
      <c r="A95" s="315"/>
      <c r="B95" s="304" t="s">
        <v>194</v>
      </c>
      <c r="C95" s="171" t="s">
        <v>129</v>
      </c>
      <c r="D95" s="171" t="s">
        <v>128</v>
      </c>
      <c r="E95" s="157"/>
      <c r="F95" s="314">
        <f t="shared" ref="F95:R95" si="44">SUM(F89:F94)</f>
        <v>1353.8359999999998</v>
      </c>
      <c r="G95" s="314">
        <f t="shared" si="44"/>
        <v>1803.1000000000004</v>
      </c>
      <c r="H95" s="314">
        <f t="shared" si="44"/>
        <v>1218.5000000000005</v>
      </c>
      <c r="I95" s="314">
        <f t="shared" si="44"/>
        <v>2765.8999999999996</v>
      </c>
      <c r="J95" s="314">
        <f t="shared" si="44"/>
        <v>527.50000000000045</v>
      </c>
      <c r="K95" s="302">
        <f t="shared" si="44"/>
        <v>0</v>
      </c>
      <c r="L95" s="302">
        <f t="shared" si="44"/>
        <v>0</v>
      </c>
      <c r="M95" s="302">
        <f t="shared" si="44"/>
        <v>0</v>
      </c>
      <c r="N95" s="302">
        <f t="shared" si="44"/>
        <v>0</v>
      </c>
      <c r="O95" s="302">
        <f t="shared" si="44"/>
        <v>0</v>
      </c>
      <c r="P95" s="302">
        <f t="shared" si="44"/>
        <v>0</v>
      </c>
      <c r="Q95" s="302">
        <f t="shared" si="44"/>
        <v>0</v>
      </c>
      <c r="R95" s="302">
        <f t="shared" si="44"/>
        <v>0</v>
      </c>
      <c r="S95" s="57"/>
      <c r="T95" s="188">
        <f t="shared" si="34"/>
        <v>1</v>
      </c>
      <c r="U95" s="35">
        <v>1</v>
      </c>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c r="BN95" s="57"/>
      <c r="BO95" s="57"/>
      <c r="BP95" s="57"/>
      <c r="BQ95" s="57"/>
      <c r="BR95" s="57"/>
      <c r="BS95" s="57"/>
      <c r="BT95" s="57"/>
      <c r="BU95" s="57"/>
      <c r="BV95" s="57"/>
      <c r="BW95" s="57"/>
      <c r="BX95" s="57"/>
      <c r="BY95" s="57"/>
      <c r="BZ95" s="57"/>
      <c r="CA95" s="57"/>
      <c r="CB95" s="57"/>
      <c r="CC95" s="57"/>
      <c r="CD95" s="57"/>
      <c r="CE95" s="57"/>
      <c r="CF95" s="57"/>
      <c r="CG95" s="57"/>
      <c r="CH95" s="57"/>
      <c r="CI95" s="57"/>
      <c r="CJ95" s="57"/>
      <c r="CK95" s="57"/>
      <c r="CL95" s="57"/>
      <c r="CM95" s="57"/>
      <c r="CN95" s="57"/>
      <c r="CO95" s="57"/>
      <c r="CP95" s="57"/>
      <c r="CQ95" s="57"/>
      <c r="CR95" s="57"/>
      <c r="CS95" s="57"/>
      <c r="CT95" s="57"/>
    </row>
    <row r="96" spans="1:98" ht="13.05" customHeight="1">
      <c r="A96" s="187"/>
      <c r="B96" s="217"/>
      <c r="C96" s="62"/>
      <c r="D96" s="62"/>
      <c r="E96" s="62"/>
      <c r="F96" s="62"/>
      <c r="G96" s="62"/>
      <c r="H96" s="62"/>
      <c r="I96" s="62"/>
      <c r="J96" s="312"/>
      <c r="K96" s="199"/>
      <c r="L96" s="199"/>
      <c r="M96" s="199"/>
      <c r="N96" s="199"/>
      <c r="O96" s="199"/>
      <c r="P96" s="199"/>
      <c r="Q96" s="199"/>
      <c r="R96" s="199"/>
      <c r="T96" s="188">
        <f t="shared" si="34"/>
        <v>0</v>
      </c>
      <c r="U96" s="35">
        <v>0</v>
      </c>
    </row>
    <row r="97" spans="1:258" ht="13.05" customHeight="1">
      <c r="A97" s="187"/>
      <c r="B97" s="313" t="s">
        <v>193</v>
      </c>
      <c r="C97" s="62"/>
      <c r="D97" s="62"/>
      <c r="E97" s="62"/>
      <c r="F97" s="62"/>
      <c r="G97" s="62"/>
      <c r="H97" s="62"/>
      <c r="I97" s="62"/>
      <c r="J97" s="312"/>
      <c r="K97" s="199"/>
      <c r="L97" s="199"/>
      <c r="M97" s="199"/>
      <c r="N97" s="199"/>
      <c r="O97" s="199"/>
      <c r="P97" s="199"/>
      <c r="Q97" s="199"/>
      <c r="R97" s="199"/>
      <c r="T97" s="188">
        <f t="shared" si="34"/>
        <v>1</v>
      </c>
      <c r="U97" s="35">
        <v>1</v>
      </c>
    </row>
    <row r="98" spans="1:258" s="2" customFormat="1" ht="13.05" customHeight="1">
      <c r="A98" s="187"/>
      <c r="B98" s="311" t="s">
        <v>192</v>
      </c>
      <c r="C98" s="21" t="s">
        <v>129</v>
      </c>
      <c r="D98" s="21" t="s">
        <v>128</v>
      </c>
      <c r="E98" s="310"/>
      <c r="F98" s="309">
        <f>'DCF - Financials'!F85</f>
        <v>-524.9</v>
      </c>
      <c r="G98" s="309">
        <f>'DCF - Financials'!G84</f>
        <v>0</v>
      </c>
      <c r="H98" s="309">
        <f>'DCF - Financials'!H84</f>
        <v>0</v>
      </c>
      <c r="I98" s="309">
        <f>'DCF - Financials'!I84</f>
        <v>0</v>
      </c>
      <c r="J98" s="309">
        <f>'DCF - Financials'!J84</f>
        <v>0</v>
      </c>
      <c r="K98" s="308">
        <f>'DCF - Financials'!K84</f>
        <v>0</v>
      </c>
      <c r="L98" s="308">
        <f>'DCF - Financials'!L84</f>
        <v>0</v>
      </c>
      <c r="M98" s="308">
        <f>'DCF - Financials'!M84</f>
        <v>0</v>
      </c>
      <c r="N98" s="308">
        <f>'DCF - Financials'!N84</f>
        <v>0</v>
      </c>
      <c r="O98" s="308">
        <f>'DCF - Financials'!O84</f>
        <v>0</v>
      </c>
      <c r="P98" s="308">
        <f>'DCF - Financials'!P84</f>
        <v>0</v>
      </c>
      <c r="Q98" s="308">
        <f>'DCF - Financials'!Q84</f>
        <v>0</v>
      </c>
      <c r="R98" s="308">
        <f>'DCF - Financials'!R84</f>
        <v>0</v>
      </c>
      <c r="T98" s="188">
        <f t="shared" si="34"/>
        <v>1</v>
      </c>
      <c r="U98" s="35">
        <v>1</v>
      </c>
    </row>
    <row r="99" spans="1:258" s="306" customFormat="1" ht="13.05" customHeight="1">
      <c r="A99" s="187"/>
      <c r="B99" s="307" t="s">
        <v>191</v>
      </c>
      <c r="C99" s="225" t="s">
        <v>129</v>
      </c>
      <c r="D99" s="225" t="s">
        <v>128</v>
      </c>
      <c r="E99" s="225"/>
      <c r="F99" s="207">
        <f t="shared" ref="F99:R99" si="45">F95+F98</f>
        <v>828.93599999999981</v>
      </c>
      <c r="G99" s="207">
        <f t="shared" si="45"/>
        <v>1803.1000000000004</v>
      </c>
      <c r="H99" s="207">
        <f t="shared" si="45"/>
        <v>1218.5000000000005</v>
      </c>
      <c r="I99" s="207">
        <f t="shared" si="45"/>
        <v>2765.8999999999996</v>
      </c>
      <c r="J99" s="207">
        <f t="shared" si="45"/>
        <v>527.50000000000045</v>
      </c>
      <c r="K99" s="206">
        <f t="shared" si="45"/>
        <v>0</v>
      </c>
      <c r="L99" s="206">
        <f t="shared" si="45"/>
        <v>0</v>
      </c>
      <c r="M99" s="206">
        <f t="shared" si="45"/>
        <v>0</v>
      </c>
      <c r="N99" s="206">
        <f t="shared" si="45"/>
        <v>0</v>
      </c>
      <c r="O99" s="206">
        <f t="shared" si="45"/>
        <v>0</v>
      </c>
      <c r="P99" s="206">
        <f t="shared" si="45"/>
        <v>0</v>
      </c>
      <c r="Q99" s="206">
        <f t="shared" si="45"/>
        <v>0</v>
      </c>
      <c r="R99" s="206">
        <f t="shared" si="45"/>
        <v>0</v>
      </c>
      <c r="S99" s="57"/>
      <c r="T99" s="188">
        <f t="shared" si="34"/>
        <v>1</v>
      </c>
      <c r="U99" s="35">
        <v>1</v>
      </c>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c r="BL99" s="57"/>
      <c r="BM99" s="57"/>
      <c r="BN99" s="57"/>
      <c r="BO99" s="57"/>
      <c r="BP99" s="57"/>
      <c r="BQ99" s="57"/>
      <c r="BR99" s="57"/>
      <c r="BS99" s="57"/>
      <c r="BT99" s="57"/>
      <c r="BU99" s="57"/>
      <c r="BV99" s="57"/>
      <c r="BW99" s="57"/>
      <c r="BX99" s="57"/>
      <c r="BY99" s="57"/>
      <c r="BZ99" s="57"/>
      <c r="CA99" s="57"/>
      <c r="CB99" s="57"/>
      <c r="CC99" s="57"/>
      <c r="CD99" s="57"/>
      <c r="CE99" s="57"/>
      <c r="CF99" s="57"/>
      <c r="CG99" s="57"/>
      <c r="CH99" s="57"/>
      <c r="CI99" s="57"/>
      <c r="CJ99" s="57"/>
      <c r="CK99" s="57"/>
      <c r="CL99" s="57"/>
      <c r="CM99" s="57"/>
      <c r="CN99" s="57"/>
      <c r="CO99" s="57"/>
      <c r="CP99" s="57"/>
      <c r="CQ99" s="57"/>
      <c r="CR99" s="57"/>
      <c r="CS99" s="57"/>
      <c r="CT99" s="57"/>
    </row>
    <row r="100" spans="1:258" ht="13.05" customHeight="1">
      <c r="A100" s="187"/>
      <c r="B100" s="230" t="s">
        <v>190</v>
      </c>
      <c r="C100" s="62" t="s">
        <v>125</v>
      </c>
      <c r="D100" s="62" t="s">
        <v>123</v>
      </c>
      <c r="E100" s="62"/>
      <c r="F100" s="62"/>
      <c r="G100" s="62"/>
      <c r="H100" s="62"/>
      <c r="I100" s="62"/>
      <c r="J100" s="62"/>
      <c r="K100" s="305"/>
      <c r="L100" s="305"/>
      <c r="M100" s="305"/>
      <c r="N100" s="305"/>
      <c r="O100" s="305"/>
      <c r="P100" s="305"/>
      <c r="Q100" s="305"/>
      <c r="R100" s="305"/>
      <c r="T100" s="188">
        <f t="shared" si="34"/>
        <v>1</v>
      </c>
      <c r="U100" s="35">
        <v>1</v>
      </c>
    </row>
    <row r="101" spans="1:258" ht="13.05" customHeight="1">
      <c r="A101" s="187"/>
      <c r="B101" s="304" t="s">
        <v>189</v>
      </c>
      <c r="C101" s="157" t="s">
        <v>129</v>
      </c>
      <c r="D101" s="157" t="s">
        <v>128</v>
      </c>
      <c r="E101" s="157"/>
      <c r="F101" s="303">
        <f>'DCF - Financials'!F93</f>
        <v>-376.5</v>
      </c>
      <c r="G101" s="303">
        <f>'DCF - Financials'!G93</f>
        <v>-371.8</v>
      </c>
      <c r="H101" s="303">
        <f>'DCF - Financials'!H93</f>
        <v>-374.5</v>
      </c>
      <c r="I101" s="303">
        <f>'DCF - Financials'!I93</f>
        <v>-378</v>
      </c>
      <c r="J101" s="303">
        <f>'DCF - Financials'!J93</f>
        <v>-384.1</v>
      </c>
      <c r="K101" s="302">
        <f t="shared" ref="K101:R101" si="46">MIN(0,-K99*K100)</f>
        <v>0</v>
      </c>
      <c r="L101" s="302">
        <f t="shared" si="46"/>
        <v>0</v>
      </c>
      <c r="M101" s="302">
        <f t="shared" si="46"/>
        <v>0</v>
      </c>
      <c r="N101" s="302">
        <f t="shared" si="46"/>
        <v>0</v>
      </c>
      <c r="O101" s="302">
        <f t="shared" si="46"/>
        <v>0</v>
      </c>
      <c r="P101" s="302">
        <f t="shared" si="46"/>
        <v>0</v>
      </c>
      <c r="Q101" s="302">
        <f t="shared" si="46"/>
        <v>0</v>
      </c>
      <c r="R101" s="302">
        <f t="shared" si="46"/>
        <v>0</v>
      </c>
      <c r="T101" s="188">
        <f t="shared" si="34"/>
        <v>1</v>
      </c>
      <c r="U101" s="35">
        <v>1</v>
      </c>
    </row>
    <row r="102" spans="1:258" s="2" customFormat="1" ht="13.05" customHeight="1">
      <c r="A102" s="187"/>
      <c r="B102" s="165"/>
      <c r="C102" s="24"/>
      <c r="D102" s="24"/>
      <c r="E102" s="300"/>
      <c r="F102" s="301"/>
      <c r="G102" s="301"/>
      <c r="H102" s="301"/>
      <c r="I102" s="301"/>
      <c r="J102" s="301"/>
      <c r="K102" s="300"/>
      <c r="L102" s="300"/>
      <c r="M102" s="300"/>
      <c r="N102" s="24"/>
      <c r="O102" s="24"/>
      <c r="P102" s="24"/>
      <c r="Q102" s="24"/>
      <c r="R102" s="24"/>
      <c r="T102" s="188">
        <f t="shared" si="34"/>
        <v>0</v>
      </c>
      <c r="U102" s="35">
        <v>0</v>
      </c>
      <c r="CU102" s="24"/>
      <c r="CV102" s="24"/>
      <c r="CW102" s="24"/>
      <c r="CX102" s="24"/>
      <c r="CY102" s="24"/>
      <c r="CZ102" s="24"/>
      <c r="DA102" s="24"/>
      <c r="DB102" s="24"/>
      <c r="DC102" s="24"/>
      <c r="DD102" s="24"/>
      <c r="DE102" s="24"/>
      <c r="DF102" s="24"/>
      <c r="DG102" s="24"/>
      <c r="DH102" s="24"/>
      <c r="DI102" s="24"/>
      <c r="DJ102" s="24"/>
      <c r="DK102" s="24"/>
      <c r="DL102" s="24"/>
      <c r="DM102" s="24"/>
      <c r="DN102" s="24"/>
      <c r="DO102" s="24"/>
      <c r="DP102" s="24"/>
      <c r="DQ102" s="24"/>
      <c r="DR102" s="24"/>
      <c r="DS102" s="24"/>
      <c r="DT102" s="24"/>
      <c r="DU102" s="24"/>
      <c r="DV102" s="24"/>
      <c r="DW102" s="24"/>
      <c r="DX102" s="24"/>
      <c r="DY102" s="24"/>
      <c r="DZ102" s="24"/>
      <c r="EA102" s="24"/>
      <c r="EB102" s="24"/>
      <c r="EC102" s="24"/>
      <c r="ED102" s="24"/>
      <c r="EE102" s="24"/>
      <c r="EF102" s="24"/>
      <c r="EG102" s="24"/>
      <c r="EH102" s="24"/>
      <c r="EI102" s="24"/>
      <c r="EJ102" s="24"/>
      <c r="EK102" s="24"/>
      <c r="EL102" s="24"/>
      <c r="EM102" s="24"/>
      <c r="EN102" s="24"/>
      <c r="EO102" s="24"/>
      <c r="EP102" s="24"/>
      <c r="EQ102" s="24"/>
      <c r="ER102" s="24"/>
      <c r="ES102" s="24"/>
      <c r="ET102" s="24"/>
      <c r="EU102" s="24"/>
      <c r="EV102" s="24"/>
      <c r="EW102" s="24"/>
      <c r="EX102" s="24"/>
      <c r="EY102" s="24"/>
      <c r="EZ102" s="24"/>
      <c r="FA102" s="24"/>
      <c r="FB102" s="24"/>
      <c r="FC102" s="24"/>
      <c r="FD102" s="24"/>
      <c r="FE102" s="24"/>
      <c r="FF102" s="24"/>
      <c r="FG102" s="24"/>
      <c r="FH102" s="24"/>
      <c r="FI102" s="24"/>
      <c r="FJ102" s="24"/>
      <c r="FK102" s="24"/>
      <c r="FL102" s="24"/>
      <c r="FM102" s="24"/>
      <c r="FN102" s="24"/>
      <c r="FO102" s="24"/>
      <c r="FP102" s="24"/>
      <c r="FQ102" s="24"/>
      <c r="FR102" s="24"/>
      <c r="FS102" s="24"/>
      <c r="FT102" s="24"/>
      <c r="FU102" s="24"/>
      <c r="FV102" s="24"/>
      <c r="FW102" s="24"/>
      <c r="FX102" s="24"/>
      <c r="FY102" s="24"/>
      <c r="FZ102" s="24"/>
      <c r="GA102" s="24"/>
      <c r="GB102" s="24"/>
      <c r="GC102" s="24"/>
      <c r="GD102" s="24"/>
      <c r="GE102" s="24"/>
      <c r="GF102" s="24"/>
      <c r="GG102" s="24"/>
      <c r="GH102" s="24"/>
      <c r="GI102" s="24"/>
      <c r="GJ102" s="24"/>
      <c r="GK102" s="24"/>
      <c r="GL102" s="24"/>
      <c r="GM102" s="24"/>
      <c r="GN102" s="24"/>
      <c r="GO102" s="24"/>
      <c r="GP102" s="24"/>
      <c r="GQ102" s="24"/>
      <c r="GR102" s="24"/>
      <c r="GS102" s="24"/>
      <c r="GT102" s="24"/>
      <c r="GU102" s="24"/>
      <c r="GV102" s="24"/>
      <c r="GW102" s="24"/>
      <c r="GX102" s="24"/>
      <c r="GY102" s="24"/>
      <c r="GZ102" s="24"/>
      <c r="HA102" s="24"/>
      <c r="HB102" s="24"/>
      <c r="HC102" s="24"/>
      <c r="HD102" s="24"/>
      <c r="HE102" s="24"/>
      <c r="HF102" s="24"/>
      <c r="HG102" s="24"/>
      <c r="HH102" s="24"/>
      <c r="HI102" s="24"/>
      <c r="HJ102" s="24"/>
      <c r="HK102" s="24"/>
      <c r="HL102" s="24"/>
      <c r="HM102" s="24"/>
      <c r="HN102" s="24"/>
      <c r="HO102" s="24"/>
      <c r="HP102" s="24"/>
      <c r="HQ102" s="24"/>
      <c r="HR102" s="24"/>
      <c r="HS102" s="24"/>
      <c r="HT102" s="24"/>
      <c r="HU102" s="24"/>
      <c r="HV102" s="24"/>
      <c r="HW102" s="24"/>
      <c r="HX102" s="24"/>
      <c r="HY102" s="24"/>
      <c r="HZ102" s="24"/>
      <c r="IA102" s="24"/>
      <c r="IB102" s="24"/>
      <c r="IC102" s="24"/>
      <c r="ID102" s="24"/>
      <c r="IE102" s="24"/>
      <c r="IF102" s="24"/>
      <c r="IG102" s="24"/>
      <c r="IH102" s="24"/>
      <c r="II102" s="24"/>
      <c r="IJ102" s="24"/>
      <c r="IK102" s="24"/>
      <c r="IL102" s="24"/>
      <c r="IM102" s="24"/>
      <c r="IN102" s="24"/>
      <c r="IO102" s="24"/>
      <c r="IP102" s="24"/>
      <c r="IQ102" s="24"/>
      <c r="IR102" s="24"/>
      <c r="IS102" s="24"/>
      <c r="IT102" s="24"/>
      <c r="IU102" s="24"/>
      <c r="IV102" s="24"/>
      <c r="IW102" s="24"/>
      <c r="IX102" s="24"/>
    </row>
    <row r="103" spans="1:258" s="4" customFormat="1">
      <c r="B103" s="730" t="s">
        <v>188</v>
      </c>
      <c r="C103" s="731"/>
      <c r="D103" s="731"/>
      <c r="E103" s="731"/>
      <c r="F103" s="732"/>
      <c r="G103" s="732"/>
      <c r="H103" s="732"/>
      <c r="I103" s="732"/>
      <c r="J103" s="732"/>
      <c r="K103" s="732"/>
      <c r="L103" s="732"/>
      <c r="M103" s="732"/>
      <c r="N103" s="732"/>
      <c r="O103" s="732"/>
      <c r="P103" s="732"/>
      <c r="Q103" s="732"/>
      <c r="R103" s="732"/>
      <c r="S103" s="7"/>
      <c r="T103" s="188">
        <f t="shared" si="34"/>
        <v>1</v>
      </c>
      <c r="U103" s="35">
        <v>1</v>
      </c>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row>
    <row r="104" spans="1:258" s="2" customFormat="1" ht="13.05" customHeight="1">
      <c r="A104" s="24"/>
      <c r="B104" s="24"/>
      <c r="C104" s="24"/>
      <c r="D104" s="24"/>
      <c r="E104" s="24"/>
      <c r="F104" s="277"/>
      <c r="G104" s="277"/>
      <c r="H104" s="277"/>
      <c r="I104" s="277"/>
      <c r="J104" s="277"/>
      <c r="K104" s="276" t="s">
        <v>174</v>
      </c>
      <c r="L104" s="275"/>
      <c r="M104" s="275"/>
      <c r="N104" s="275"/>
      <c r="O104" s="275"/>
      <c r="P104" s="275"/>
      <c r="Q104" s="275"/>
      <c r="R104" s="275"/>
      <c r="T104" s="188">
        <f t="shared" ref="T104:T116" si="47">IF(NOT(ISBLANK(B104)), 1, 0)</f>
        <v>0</v>
      </c>
      <c r="U104" s="35">
        <v>0</v>
      </c>
    </row>
    <row r="105" spans="1:258" s="2" customFormat="1" ht="13.05" customHeight="1" thickBot="1">
      <c r="A105" s="4"/>
      <c r="B105" s="299"/>
      <c r="C105" s="274" t="str">
        <f>+C$7</f>
        <v>Unit</v>
      </c>
      <c r="D105" s="274" t="str">
        <f>+D$7</f>
        <v>Type</v>
      </c>
      <c r="E105" s="94"/>
      <c r="F105" s="274">
        <f t="shared" ref="F105:R105" si="48">+F$7</f>
        <v>2014</v>
      </c>
      <c r="G105" s="274">
        <f t="shared" si="48"/>
        <v>2015</v>
      </c>
      <c r="H105" s="274">
        <f t="shared" si="48"/>
        <v>2016</v>
      </c>
      <c r="I105" s="274">
        <f t="shared" si="48"/>
        <v>2017</v>
      </c>
      <c r="J105" s="274">
        <f t="shared" si="48"/>
        <v>2018</v>
      </c>
      <c r="K105" s="274">
        <f t="shared" si="48"/>
        <v>2019</v>
      </c>
      <c r="L105" s="274">
        <f t="shared" si="48"/>
        <v>2020</v>
      </c>
      <c r="M105" s="274">
        <f t="shared" si="48"/>
        <v>2021</v>
      </c>
      <c r="N105" s="274">
        <f t="shared" si="48"/>
        <v>2022</v>
      </c>
      <c r="O105" s="274">
        <f t="shared" si="48"/>
        <v>2023</v>
      </c>
      <c r="P105" s="274">
        <f t="shared" si="48"/>
        <v>2024</v>
      </c>
      <c r="Q105" s="274">
        <f t="shared" si="48"/>
        <v>2025</v>
      </c>
      <c r="R105" s="274">
        <f t="shared" si="48"/>
        <v>2026</v>
      </c>
      <c r="S105" s="52"/>
      <c r="T105" s="188">
        <f t="shared" si="47"/>
        <v>0</v>
      </c>
      <c r="U105" s="35">
        <v>0</v>
      </c>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52"/>
      <c r="EB105" s="52"/>
      <c r="EC105" s="52"/>
      <c r="ED105" s="52"/>
      <c r="EE105" s="52"/>
      <c r="EF105" s="52"/>
      <c r="EG105" s="52"/>
      <c r="EH105" s="52"/>
      <c r="EI105" s="52"/>
      <c r="EJ105" s="52"/>
      <c r="EK105" s="52"/>
      <c r="EL105" s="52"/>
      <c r="EM105" s="52"/>
      <c r="EN105" s="52"/>
      <c r="EO105" s="52"/>
      <c r="EP105" s="52"/>
      <c r="EQ105" s="52"/>
      <c r="ER105" s="52"/>
      <c r="ES105" s="52"/>
      <c r="ET105" s="52"/>
      <c r="EU105" s="52"/>
      <c r="EV105" s="52"/>
      <c r="EW105" s="52"/>
      <c r="EX105" s="52"/>
      <c r="EY105" s="52"/>
      <c r="EZ105" s="52"/>
      <c r="FA105" s="52"/>
      <c r="FB105" s="52"/>
      <c r="FC105" s="52"/>
      <c r="FD105" s="52"/>
      <c r="FE105" s="52"/>
      <c r="FF105" s="52"/>
      <c r="FG105" s="52"/>
      <c r="FH105" s="52"/>
      <c r="FI105" s="52"/>
      <c r="FJ105" s="52"/>
      <c r="FK105" s="52"/>
      <c r="FL105" s="52"/>
      <c r="FM105" s="52"/>
      <c r="FN105" s="52"/>
      <c r="FO105" s="52"/>
      <c r="FP105" s="52"/>
      <c r="FQ105" s="52"/>
      <c r="FR105" s="52"/>
      <c r="FS105" s="52"/>
      <c r="FT105" s="52"/>
      <c r="FU105" s="52"/>
      <c r="FV105" s="52"/>
      <c r="FW105" s="52"/>
      <c r="FX105" s="52"/>
      <c r="FY105" s="52"/>
      <c r="FZ105" s="52"/>
      <c r="GA105" s="52"/>
      <c r="GB105" s="52"/>
      <c r="GC105" s="52"/>
      <c r="GD105" s="52"/>
      <c r="GE105" s="52"/>
      <c r="GF105" s="52"/>
      <c r="GG105" s="52"/>
      <c r="GH105" s="52"/>
      <c r="GI105" s="52"/>
      <c r="GJ105" s="52"/>
      <c r="GK105" s="52"/>
      <c r="GL105" s="52"/>
      <c r="GM105" s="52"/>
      <c r="GN105" s="52"/>
      <c r="GO105" s="52"/>
      <c r="GP105" s="52"/>
      <c r="GQ105" s="52"/>
      <c r="GR105" s="52"/>
      <c r="GS105" s="52"/>
      <c r="GT105" s="52"/>
      <c r="GU105" s="52"/>
      <c r="GV105" s="52"/>
      <c r="GW105" s="52"/>
      <c r="GX105" s="52"/>
      <c r="GY105" s="52"/>
      <c r="GZ105" s="52"/>
      <c r="HA105" s="52"/>
      <c r="HB105" s="52"/>
      <c r="HC105" s="52"/>
      <c r="HD105" s="52"/>
      <c r="HE105" s="52"/>
      <c r="HF105" s="52"/>
      <c r="HG105" s="52"/>
      <c r="HH105" s="52"/>
      <c r="HI105" s="52"/>
      <c r="HJ105" s="52"/>
      <c r="HK105" s="52"/>
      <c r="HL105" s="52"/>
      <c r="HM105" s="52"/>
      <c r="HN105" s="52"/>
      <c r="HO105" s="52"/>
      <c r="HP105" s="52"/>
      <c r="HQ105" s="52"/>
      <c r="HR105" s="52"/>
      <c r="HS105" s="52"/>
      <c r="HT105" s="52"/>
      <c r="HU105" s="52"/>
      <c r="HV105" s="52"/>
      <c r="HW105" s="52"/>
      <c r="HX105" s="52"/>
      <c r="HY105" s="52"/>
      <c r="HZ105" s="52"/>
      <c r="IA105" s="52"/>
      <c r="IB105" s="52"/>
      <c r="IC105" s="52"/>
      <c r="ID105" s="52"/>
      <c r="IE105" s="52"/>
      <c r="IF105" s="52"/>
      <c r="IG105" s="52"/>
      <c r="IH105" s="52"/>
      <c r="II105" s="52"/>
      <c r="IJ105" s="52"/>
      <c r="IK105" s="52"/>
      <c r="IL105" s="52"/>
      <c r="IM105" s="52"/>
      <c r="IN105" s="52"/>
      <c r="IO105" s="52"/>
      <c r="IP105" s="52"/>
      <c r="IQ105" s="52"/>
      <c r="IR105" s="52"/>
      <c r="IS105" s="52"/>
      <c r="IT105" s="52"/>
      <c r="IU105" s="52"/>
      <c r="IV105" s="52"/>
      <c r="IW105" s="52"/>
    </row>
    <row r="106" spans="1:258" s="2" customFormat="1" ht="13.05" customHeight="1">
      <c r="A106" s="187"/>
      <c r="B106" s="169" t="s">
        <v>187</v>
      </c>
      <c r="C106" s="4" t="s">
        <v>129</v>
      </c>
      <c r="D106" s="4" t="s">
        <v>128</v>
      </c>
      <c r="E106" s="7"/>
      <c r="F106" s="298"/>
      <c r="G106" s="292">
        <f t="shared" ref="G106:R106" si="49">F110</f>
        <v>2648.7999999999997</v>
      </c>
      <c r="H106" s="292">
        <f t="shared" si="49"/>
        <v>2757.2000000000003</v>
      </c>
      <c r="I106" s="292">
        <f t="shared" si="49"/>
        <v>2859.9</v>
      </c>
      <c r="J106" s="292">
        <f t="shared" si="49"/>
        <v>2981.1000000000004</v>
      </c>
      <c r="K106" s="297">
        <f t="shared" si="49"/>
        <v>3208.4</v>
      </c>
      <c r="L106" s="297">
        <f t="shared" si="49"/>
        <v>3208.4</v>
      </c>
      <c r="M106" s="297">
        <f t="shared" si="49"/>
        <v>3208.4</v>
      </c>
      <c r="N106" s="297">
        <f t="shared" si="49"/>
        <v>3208.4</v>
      </c>
      <c r="O106" s="297">
        <f t="shared" si="49"/>
        <v>3208.4</v>
      </c>
      <c r="P106" s="297">
        <f t="shared" si="49"/>
        <v>3208.4</v>
      </c>
      <c r="Q106" s="297">
        <f t="shared" si="49"/>
        <v>3208.4</v>
      </c>
      <c r="R106" s="297">
        <f t="shared" si="49"/>
        <v>3208.4</v>
      </c>
      <c r="T106" s="188">
        <f t="shared" si="47"/>
        <v>1</v>
      </c>
      <c r="U106" s="35">
        <v>1</v>
      </c>
    </row>
    <row r="107" spans="1:258" s="2" customFormat="1" ht="13.05" customHeight="1">
      <c r="A107" s="187"/>
      <c r="B107" s="169" t="s">
        <v>186</v>
      </c>
      <c r="C107" s="4" t="s">
        <v>129</v>
      </c>
      <c r="D107" s="4" t="s">
        <v>184</v>
      </c>
      <c r="E107" s="7"/>
      <c r="F107" s="286"/>
      <c r="G107" s="292">
        <f>'DCF - Financials'!F85</f>
        <v>-524.9</v>
      </c>
      <c r="H107" s="292">
        <f>'DCF - Financials'!G84</f>
        <v>0</v>
      </c>
      <c r="I107" s="292">
        <f>'DCF - Financials'!H84</f>
        <v>0</v>
      </c>
      <c r="J107" s="292">
        <f>'DCF - Financials'!I84</f>
        <v>0</v>
      </c>
      <c r="K107" s="296">
        <v>0</v>
      </c>
      <c r="L107" s="296">
        <v>0</v>
      </c>
      <c r="M107" s="296">
        <v>0</v>
      </c>
      <c r="N107" s="296">
        <v>0</v>
      </c>
      <c r="O107" s="296">
        <v>0</v>
      </c>
      <c r="P107" s="296">
        <v>0</v>
      </c>
      <c r="Q107" s="296">
        <v>0</v>
      </c>
      <c r="R107" s="296">
        <v>0</v>
      </c>
      <c r="T107" s="188">
        <f t="shared" si="47"/>
        <v>1</v>
      </c>
      <c r="U107" s="35">
        <v>1</v>
      </c>
    </row>
    <row r="108" spans="1:258" s="2" customFormat="1" ht="13.05" customHeight="1">
      <c r="A108" s="187"/>
      <c r="B108" s="169" t="s">
        <v>185</v>
      </c>
      <c r="C108" s="4" t="s">
        <v>129</v>
      </c>
      <c r="D108" s="4" t="s">
        <v>184</v>
      </c>
      <c r="E108" s="7"/>
      <c r="F108" s="286"/>
      <c r="G108" s="292">
        <v>0</v>
      </c>
      <c r="H108" s="292">
        <v>0</v>
      </c>
      <c r="I108" s="292">
        <v>0</v>
      </c>
      <c r="J108" s="292">
        <v>0</v>
      </c>
      <c r="K108" s="296">
        <v>0</v>
      </c>
      <c r="L108" s="296">
        <v>0</v>
      </c>
      <c r="M108" s="296">
        <v>0</v>
      </c>
      <c r="N108" s="296">
        <v>0</v>
      </c>
      <c r="O108" s="296">
        <v>0</v>
      </c>
      <c r="P108" s="296">
        <v>0</v>
      </c>
      <c r="Q108" s="296">
        <v>0</v>
      </c>
      <c r="R108" s="296">
        <v>0</v>
      </c>
      <c r="T108" s="188">
        <f t="shared" si="47"/>
        <v>1</v>
      </c>
      <c r="U108" s="35">
        <v>1</v>
      </c>
    </row>
    <row r="109" spans="1:258" s="2" customFormat="1" ht="13.05" customHeight="1">
      <c r="A109" s="187"/>
      <c r="B109" s="214" t="s">
        <v>183</v>
      </c>
      <c r="C109" s="96" t="s">
        <v>129</v>
      </c>
      <c r="D109" s="96" t="s">
        <v>128</v>
      </c>
      <c r="E109" s="287"/>
      <c r="F109" s="295"/>
      <c r="G109" s="285">
        <f>G110-G106</f>
        <v>108.40000000000055</v>
      </c>
      <c r="H109" s="285">
        <f>H110-H106</f>
        <v>102.69999999999982</v>
      </c>
      <c r="I109" s="285">
        <f>I110-I106</f>
        <v>121.20000000000027</v>
      </c>
      <c r="J109" s="285">
        <f>J110-J106</f>
        <v>227.29999999999973</v>
      </c>
      <c r="K109" s="294">
        <f>'DCF - Financials'!K57</f>
        <v>0</v>
      </c>
      <c r="L109" s="294">
        <f>'DCF - Financials'!L57</f>
        <v>0</v>
      </c>
      <c r="M109" s="294">
        <f>'DCF - Financials'!M57</f>
        <v>0</v>
      </c>
      <c r="N109" s="294">
        <f>'DCF - Financials'!N57</f>
        <v>0</v>
      </c>
      <c r="O109" s="294">
        <f>'DCF - Financials'!O57</f>
        <v>0</v>
      </c>
      <c r="P109" s="294">
        <f>'DCF - Financials'!P57</f>
        <v>0</v>
      </c>
      <c r="Q109" s="294">
        <f>'DCF - Financials'!Q57</f>
        <v>0</v>
      </c>
      <c r="R109" s="294">
        <f>'DCF - Financials'!R57</f>
        <v>0</v>
      </c>
      <c r="T109" s="188">
        <f t="shared" si="47"/>
        <v>1</v>
      </c>
      <c r="U109" s="35">
        <v>1</v>
      </c>
    </row>
    <row r="110" spans="1:258" s="2" customFormat="1" ht="13.05" customHeight="1">
      <c r="A110" s="187"/>
      <c r="B110" s="208" t="s">
        <v>182</v>
      </c>
      <c r="C110" s="43" t="s">
        <v>129</v>
      </c>
      <c r="D110" s="43" t="s">
        <v>128</v>
      </c>
      <c r="E110" s="41"/>
      <c r="F110" s="293">
        <f>'DCF - Financials'!F142</f>
        <v>2648.7999999999997</v>
      </c>
      <c r="G110" s="289">
        <f>'DCF - Financials'!G142</f>
        <v>2757.2000000000003</v>
      </c>
      <c r="H110" s="289">
        <f>'DCF - Financials'!H142</f>
        <v>2859.9</v>
      </c>
      <c r="I110" s="289">
        <f>'DCF - Financials'!I142</f>
        <v>2981.1000000000004</v>
      </c>
      <c r="J110" s="289">
        <f>'DCF - Financials'!J142</f>
        <v>3208.4</v>
      </c>
      <c r="K110" s="289">
        <f t="shared" ref="K110:R110" si="50">SUM(K106:K109)</f>
        <v>3208.4</v>
      </c>
      <c r="L110" s="289">
        <f t="shared" si="50"/>
        <v>3208.4</v>
      </c>
      <c r="M110" s="289">
        <f t="shared" si="50"/>
        <v>3208.4</v>
      </c>
      <c r="N110" s="289">
        <f t="shared" si="50"/>
        <v>3208.4</v>
      </c>
      <c r="O110" s="289">
        <f t="shared" si="50"/>
        <v>3208.4</v>
      </c>
      <c r="P110" s="289">
        <f t="shared" si="50"/>
        <v>3208.4</v>
      </c>
      <c r="Q110" s="289">
        <f t="shared" si="50"/>
        <v>3208.4</v>
      </c>
      <c r="R110" s="289">
        <f t="shared" si="50"/>
        <v>3208.4</v>
      </c>
      <c r="T110" s="188">
        <f t="shared" si="47"/>
        <v>1</v>
      </c>
      <c r="U110" s="35">
        <v>1</v>
      </c>
    </row>
    <row r="111" spans="1:258" s="2" customFormat="1" ht="13.05" customHeight="1">
      <c r="A111" s="187"/>
      <c r="B111" s="169"/>
      <c r="C111" s="24"/>
      <c r="D111" s="24"/>
      <c r="E111" s="24"/>
      <c r="F111" s="58"/>
      <c r="G111" s="220"/>
      <c r="H111" s="58"/>
      <c r="I111" s="220"/>
      <c r="J111" s="220"/>
      <c r="K111" s="220"/>
      <c r="L111" s="220"/>
      <c r="M111" s="220"/>
      <c r="N111" s="220"/>
      <c r="O111" s="220"/>
      <c r="P111" s="220"/>
      <c r="Q111" s="220"/>
      <c r="R111" s="220"/>
      <c r="T111" s="188">
        <f t="shared" si="47"/>
        <v>0</v>
      </c>
      <c r="U111" s="35">
        <v>0</v>
      </c>
      <c r="CU111" s="24"/>
      <c r="CV111" s="24"/>
      <c r="CW111" s="24"/>
      <c r="CX111" s="24"/>
      <c r="CY111" s="24"/>
      <c r="CZ111" s="24"/>
      <c r="DA111" s="24"/>
      <c r="DB111" s="24"/>
      <c r="DC111" s="24"/>
      <c r="DD111" s="24"/>
      <c r="DE111" s="24"/>
      <c r="DF111" s="24"/>
      <c r="DG111" s="24"/>
      <c r="DH111" s="24"/>
      <c r="DI111" s="24"/>
      <c r="DJ111" s="24"/>
      <c r="DK111" s="24"/>
      <c r="DL111" s="24"/>
      <c r="DM111" s="24"/>
      <c r="DN111" s="24"/>
      <c r="DO111" s="24"/>
      <c r="DP111" s="24"/>
      <c r="DQ111" s="24"/>
      <c r="DR111" s="24"/>
      <c r="DS111" s="24"/>
      <c r="DT111" s="24"/>
      <c r="DU111" s="24"/>
      <c r="DV111" s="24"/>
      <c r="DW111" s="24"/>
      <c r="DX111" s="24"/>
      <c r="DY111" s="24"/>
      <c r="DZ111" s="24"/>
      <c r="EA111" s="24"/>
      <c r="EB111" s="24"/>
      <c r="EC111" s="24"/>
      <c r="ED111" s="24"/>
      <c r="EE111" s="24"/>
      <c r="EF111" s="24"/>
      <c r="EG111" s="24"/>
      <c r="EH111" s="24"/>
      <c r="EI111" s="24"/>
      <c r="EJ111" s="24"/>
      <c r="EK111" s="24"/>
      <c r="EL111" s="24"/>
      <c r="EM111" s="24"/>
      <c r="EN111" s="24"/>
      <c r="EO111" s="24"/>
      <c r="EP111" s="24"/>
      <c r="EQ111" s="24"/>
      <c r="ER111" s="24"/>
      <c r="ES111" s="24"/>
      <c r="ET111" s="24"/>
      <c r="EU111" s="24"/>
      <c r="EV111" s="24"/>
      <c r="EW111" s="24"/>
      <c r="EX111" s="24"/>
      <c r="EY111" s="24"/>
      <c r="EZ111" s="24"/>
      <c r="FA111" s="24"/>
      <c r="FB111" s="24"/>
      <c r="FC111" s="24"/>
      <c r="FD111" s="24"/>
      <c r="FE111" s="24"/>
      <c r="FF111" s="24"/>
      <c r="FG111" s="24"/>
      <c r="FH111" s="24"/>
      <c r="FI111" s="24"/>
      <c r="FJ111" s="24"/>
      <c r="FK111" s="24"/>
      <c r="FL111" s="24"/>
      <c r="FM111" s="24"/>
      <c r="FN111" s="24"/>
      <c r="FO111" s="24"/>
      <c r="FP111" s="24"/>
      <c r="FQ111" s="24"/>
      <c r="FR111" s="24"/>
      <c r="FS111" s="24"/>
      <c r="FT111" s="24"/>
      <c r="FU111" s="24"/>
      <c r="FV111" s="24"/>
      <c r="FW111" s="24"/>
      <c r="FX111" s="24"/>
      <c r="FY111" s="24"/>
      <c r="FZ111" s="24"/>
      <c r="GA111" s="24"/>
      <c r="GB111" s="24"/>
      <c r="GC111" s="24"/>
      <c r="GD111" s="24"/>
      <c r="GE111" s="24"/>
      <c r="GF111" s="24"/>
      <c r="GG111" s="24"/>
      <c r="GH111" s="24"/>
      <c r="GI111" s="24"/>
      <c r="GJ111" s="24"/>
      <c r="GK111" s="24"/>
      <c r="GL111" s="24"/>
      <c r="GM111" s="24"/>
      <c r="GN111" s="24"/>
      <c r="GO111" s="24"/>
      <c r="GP111" s="24"/>
      <c r="GQ111" s="24"/>
      <c r="GR111" s="24"/>
      <c r="GS111" s="24"/>
      <c r="GT111" s="24"/>
      <c r="GU111" s="24"/>
      <c r="GV111" s="24"/>
      <c r="GW111" s="24"/>
      <c r="GX111" s="24"/>
      <c r="GY111" s="24"/>
      <c r="GZ111" s="24"/>
      <c r="HA111" s="24"/>
      <c r="HB111" s="24"/>
      <c r="HC111" s="24"/>
      <c r="HD111" s="24"/>
      <c r="HE111" s="24"/>
      <c r="HF111" s="24"/>
      <c r="HG111" s="24"/>
      <c r="HH111" s="24"/>
      <c r="HI111" s="24"/>
      <c r="HJ111" s="24"/>
      <c r="HK111" s="24"/>
      <c r="HL111" s="24"/>
      <c r="HM111" s="24"/>
      <c r="HN111" s="24"/>
      <c r="HO111" s="24"/>
      <c r="HP111" s="24"/>
      <c r="HQ111" s="24"/>
      <c r="HR111" s="24"/>
      <c r="HS111" s="24"/>
      <c r="HT111" s="24"/>
      <c r="HU111" s="24"/>
      <c r="HV111" s="24"/>
      <c r="HW111" s="24"/>
      <c r="HX111" s="24"/>
      <c r="HY111" s="24"/>
      <c r="HZ111" s="24"/>
      <c r="IA111" s="24"/>
      <c r="IB111" s="24"/>
      <c r="IC111" s="24"/>
      <c r="ID111" s="24"/>
      <c r="IE111" s="24"/>
      <c r="IF111" s="24"/>
      <c r="IG111" s="24"/>
      <c r="IH111" s="24"/>
      <c r="II111" s="24"/>
      <c r="IJ111" s="24"/>
      <c r="IK111" s="24"/>
      <c r="IL111" s="24"/>
      <c r="IM111" s="24"/>
      <c r="IN111" s="24"/>
      <c r="IO111" s="24"/>
      <c r="IP111" s="24"/>
      <c r="IQ111" s="24"/>
      <c r="IR111" s="24"/>
      <c r="IS111" s="24"/>
      <c r="IT111" s="24"/>
      <c r="IU111" s="24"/>
      <c r="IV111" s="24"/>
      <c r="IW111" s="24"/>
      <c r="IX111" s="24"/>
    </row>
    <row r="112" spans="1:258" s="2" customFormat="1" ht="13.05" customHeight="1">
      <c r="A112" s="187"/>
      <c r="B112" s="283" t="s">
        <v>181</v>
      </c>
      <c r="C112" s="4" t="s">
        <v>129</v>
      </c>
      <c r="D112" s="4" t="s">
        <v>128</v>
      </c>
      <c r="E112" s="24"/>
      <c r="F112" s="292"/>
      <c r="G112" s="292">
        <f t="shared" ref="G112:R112" si="51">F116</f>
        <v>-219.5</v>
      </c>
      <c r="H112" s="292">
        <f t="shared" si="51"/>
        <v>-189.6</v>
      </c>
      <c r="I112" s="292">
        <f t="shared" si="51"/>
        <v>-104.1</v>
      </c>
      <c r="J112" s="292">
        <f t="shared" si="51"/>
        <v>107.7</v>
      </c>
      <c r="K112" s="292">
        <f t="shared" si="51"/>
        <v>119</v>
      </c>
      <c r="L112" s="292">
        <f t="shared" si="51"/>
        <v>119</v>
      </c>
      <c r="M112" s="292">
        <f t="shared" si="51"/>
        <v>119</v>
      </c>
      <c r="N112" s="292">
        <f t="shared" si="51"/>
        <v>119</v>
      </c>
      <c r="O112" s="292">
        <f t="shared" si="51"/>
        <v>119</v>
      </c>
      <c r="P112" s="292">
        <f t="shared" si="51"/>
        <v>119</v>
      </c>
      <c r="Q112" s="292">
        <f t="shared" si="51"/>
        <v>119</v>
      </c>
      <c r="R112" s="292">
        <f t="shared" si="51"/>
        <v>119</v>
      </c>
      <c r="T112" s="188">
        <f t="shared" si="47"/>
        <v>1</v>
      </c>
      <c r="U112" s="35">
        <v>1</v>
      </c>
      <c r="CU112" s="24"/>
      <c r="CV112" s="24"/>
      <c r="CW112" s="24"/>
      <c r="CX112" s="24"/>
      <c r="CY112" s="24"/>
      <c r="CZ112" s="24"/>
      <c r="DA112" s="24"/>
      <c r="DB112" s="24"/>
      <c r="DC112" s="24"/>
      <c r="DD112" s="24"/>
      <c r="DE112" s="24"/>
      <c r="DF112" s="24"/>
      <c r="DG112" s="24"/>
      <c r="DH112" s="24"/>
      <c r="DI112" s="24"/>
      <c r="DJ112" s="24"/>
      <c r="DK112" s="24"/>
      <c r="DL112" s="24"/>
      <c r="DM112" s="24"/>
      <c r="DN112" s="24"/>
      <c r="DO112" s="24"/>
      <c r="DP112" s="24"/>
      <c r="DQ112" s="24"/>
      <c r="DR112" s="24"/>
      <c r="DS112" s="24"/>
      <c r="DT112" s="24"/>
      <c r="DU112" s="24"/>
      <c r="DV112" s="24"/>
      <c r="DW112" s="24"/>
      <c r="DX112" s="24"/>
      <c r="DY112" s="24"/>
      <c r="DZ112" s="24"/>
      <c r="EA112" s="24"/>
      <c r="EB112" s="24"/>
      <c r="EC112" s="24"/>
      <c r="ED112" s="24"/>
      <c r="EE112" s="24"/>
      <c r="EF112" s="24"/>
      <c r="EG112" s="24"/>
      <c r="EH112" s="24"/>
      <c r="EI112" s="24"/>
      <c r="EJ112" s="24"/>
      <c r="EK112" s="24"/>
      <c r="EL112" s="24"/>
      <c r="EM112" s="24"/>
      <c r="EN112" s="24"/>
      <c r="EO112" s="24"/>
      <c r="EP112" s="24"/>
      <c r="EQ112" s="24"/>
      <c r="ER112" s="24"/>
      <c r="ES112" s="24"/>
      <c r="ET112" s="24"/>
      <c r="EU112" s="24"/>
      <c r="EV112" s="24"/>
      <c r="EW112" s="24"/>
      <c r="EX112" s="24"/>
      <c r="EY112" s="24"/>
      <c r="EZ112" s="24"/>
      <c r="FA112" s="24"/>
      <c r="FB112" s="24"/>
      <c r="FC112" s="24"/>
      <c r="FD112" s="24"/>
      <c r="FE112" s="24"/>
      <c r="FF112" s="24"/>
      <c r="FG112" s="24"/>
      <c r="FH112" s="24"/>
      <c r="FI112" s="24"/>
      <c r="FJ112" s="24"/>
      <c r="FK112" s="24"/>
      <c r="FL112" s="24"/>
      <c r="FM112" s="24"/>
      <c r="FN112" s="24"/>
      <c r="FO112" s="24"/>
      <c r="FP112" s="24"/>
      <c r="FQ112" s="24"/>
      <c r="FR112" s="24"/>
      <c r="FS112" s="24"/>
      <c r="FT112" s="24"/>
      <c r="FU112" s="24"/>
      <c r="FV112" s="24"/>
      <c r="FW112" s="24"/>
      <c r="FX112" s="24"/>
      <c r="FY112" s="24"/>
      <c r="FZ112" s="24"/>
      <c r="GA112" s="24"/>
      <c r="GB112" s="24"/>
      <c r="GC112" s="24"/>
      <c r="GD112" s="24"/>
      <c r="GE112" s="24"/>
      <c r="GF112" s="24"/>
      <c r="GG112" s="24"/>
      <c r="GH112" s="24"/>
      <c r="GI112" s="24"/>
      <c r="GJ112" s="24"/>
      <c r="GK112" s="24"/>
      <c r="GL112" s="24"/>
      <c r="GM112" s="24"/>
      <c r="GN112" s="24"/>
      <c r="GO112" s="24"/>
      <c r="GP112" s="24"/>
      <c r="GQ112" s="24"/>
      <c r="GR112" s="24"/>
      <c r="GS112" s="24"/>
      <c r="GT112" s="24"/>
      <c r="GU112" s="24"/>
      <c r="GV112" s="24"/>
      <c r="GW112" s="24"/>
      <c r="GX112" s="24"/>
      <c r="GY112" s="24"/>
      <c r="GZ112" s="24"/>
      <c r="HA112" s="24"/>
      <c r="HB112" s="24"/>
      <c r="HC112" s="24"/>
      <c r="HD112" s="24"/>
      <c r="HE112" s="24"/>
      <c r="HF112" s="24"/>
      <c r="HG112" s="24"/>
      <c r="HH112" s="24"/>
      <c r="HI112" s="24"/>
      <c r="HJ112" s="24"/>
      <c r="HK112" s="24"/>
      <c r="HL112" s="24"/>
      <c r="HM112" s="24"/>
      <c r="HN112" s="24"/>
      <c r="HO112" s="24"/>
      <c r="HP112" s="24"/>
      <c r="HQ112" s="24"/>
      <c r="HR112" s="24"/>
      <c r="HS112" s="24"/>
      <c r="HT112" s="24"/>
      <c r="HU112" s="24"/>
      <c r="HV112" s="24"/>
      <c r="HW112" s="24"/>
      <c r="HX112" s="24"/>
      <c r="HY112" s="24"/>
      <c r="HZ112" s="24"/>
      <c r="IA112" s="24"/>
      <c r="IB112" s="24"/>
      <c r="IC112" s="24"/>
      <c r="ID112" s="24"/>
      <c r="IE112" s="24"/>
      <c r="IF112" s="24"/>
      <c r="IG112" s="24"/>
      <c r="IH112" s="24"/>
      <c r="II112" s="24"/>
      <c r="IJ112" s="24"/>
      <c r="IK112" s="24"/>
      <c r="IL112" s="24"/>
      <c r="IM112" s="24"/>
      <c r="IN112" s="24"/>
      <c r="IO112" s="24"/>
      <c r="IP112" s="24"/>
      <c r="IQ112" s="24"/>
      <c r="IR112" s="24"/>
      <c r="IS112" s="24"/>
      <c r="IT112" s="24"/>
      <c r="IU112" s="24"/>
      <c r="IV112" s="24"/>
      <c r="IW112" s="24"/>
      <c r="IX112" s="24"/>
    </row>
    <row r="113" spans="1:258" s="2" customFormat="1" ht="13.05" customHeight="1">
      <c r="A113" s="187"/>
      <c r="B113" s="291" t="s">
        <v>180</v>
      </c>
      <c r="C113" s="43" t="s">
        <v>129</v>
      </c>
      <c r="D113" s="43" t="s">
        <v>128</v>
      </c>
      <c r="E113" s="43"/>
      <c r="F113" s="290"/>
      <c r="G113" s="289">
        <f>'DCF - Financials'!G42</f>
        <v>402.40000000000049</v>
      </c>
      <c r="H113" s="289">
        <f>'DCF - Financials'!H42</f>
        <v>460.50000000000057</v>
      </c>
      <c r="I113" s="289">
        <f>'DCF - Financials'!I42</f>
        <v>591</v>
      </c>
      <c r="J113" s="289">
        <f>'DCF - Financials'!J42</f>
        <v>397.50000000000006</v>
      </c>
      <c r="K113" s="289">
        <f>'DCF - Financials'!K42</f>
        <v>0</v>
      </c>
      <c r="L113" s="289">
        <f>'DCF - Financials'!L42</f>
        <v>0</v>
      </c>
      <c r="M113" s="289">
        <f>'DCF - Financials'!M42</f>
        <v>0</v>
      </c>
      <c r="N113" s="289">
        <f>'DCF - Financials'!N42</f>
        <v>0</v>
      </c>
      <c r="O113" s="289">
        <f>'DCF - Financials'!O42</f>
        <v>0</v>
      </c>
      <c r="P113" s="289">
        <f>'DCF - Financials'!P42</f>
        <v>0</v>
      </c>
      <c r="Q113" s="289">
        <f>'DCF - Financials'!Q42</f>
        <v>0</v>
      </c>
      <c r="R113" s="289">
        <f>'DCF - Financials'!R42</f>
        <v>0</v>
      </c>
      <c r="T113" s="188">
        <f t="shared" si="47"/>
        <v>1</v>
      </c>
      <c r="U113" s="35">
        <v>1</v>
      </c>
      <c r="CU113" s="24"/>
      <c r="CV113" s="24"/>
      <c r="CW113" s="24"/>
      <c r="CX113" s="24"/>
      <c r="CY113" s="24"/>
      <c r="CZ113" s="24"/>
      <c r="DA113" s="24"/>
      <c r="DB113" s="24"/>
      <c r="DC113" s="24"/>
      <c r="DD113" s="24"/>
      <c r="DE113" s="24"/>
      <c r="DF113" s="24"/>
      <c r="DG113" s="24"/>
      <c r="DH113" s="24"/>
      <c r="DI113" s="24"/>
      <c r="DJ113" s="24"/>
      <c r="DK113" s="24"/>
      <c r="DL113" s="24"/>
      <c r="DM113" s="24"/>
      <c r="DN113" s="24"/>
      <c r="DO113" s="24"/>
      <c r="DP113" s="24"/>
      <c r="DQ113" s="24"/>
      <c r="DR113" s="24"/>
      <c r="DS113" s="24"/>
      <c r="DT113" s="24"/>
      <c r="DU113" s="24"/>
      <c r="DV113" s="24"/>
      <c r="DW113" s="24"/>
      <c r="DX113" s="24"/>
      <c r="DY113" s="24"/>
      <c r="DZ113" s="24"/>
      <c r="EA113" s="24"/>
      <c r="EB113" s="24"/>
      <c r="EC113" s="24"/>
      <c r="ED113" s="24"/>
      <c r="EE113" s="24"/>
      <c r="EF113" s="24"/>
      <c r="EG113" s="24"/>
      <c r="EH113" s="24"/>
      <c r="EI113" s="24"/>
      <c r="EJ113" s="24"/>
      <c r="EK113" s="24"/>
      <c r="EL113" s="24"/>
      <c r="EM113" s="24"/>
      <c r="EN113" s="24"/>
      <c r="EO113" s="24"/>
      <c r="EP113" s="24"/>
      <c r="EQ113" s="24"/>
      <c r="ER113" s="24"/>
      <c r="ES113" s="24"/>
      <c r="ET113" s="24"/>
      <c r="EU113" s="24"/>
      <c r="EV113" s="24"/>
      <c r="EW113" s="24"/>
      <c r="EX113" s="24"/>
      <c r="EY113" s="24"/>
      <c r="EZ113" s="24"/>
      <c r="FA113" s="24"/>
      <c r="FB113" s="24"/>
      <c r="FC113" s="24"/>
      <c r="FD113" s="24"/>
      <c r="FE113" s="24"/>
      <c r="FF113" s="24"/>
      <c r="FG113" s="24"/>
      <c r="FH113" s="24"/>
      <c r="FI113" s="24"/>
      <c r="FJ113" s="24"/>
      <c r="FK113" s="24"/>
      <c r="FL113" s="24"/>
      <c r="FM113" s="24"/>
      <c r="FN113" s="24"/>
      <c r="FO113" s="24"/>
      <c r="FP113" s="24"/>
      <c r="FQ113" s="24"/>
      <c r="FR113" s="24"/>
      <c r="FS113" s="24"/>
      <c r="FT113" s="24"/>
      <c r="FU113" s="24"/>
      <c r="FV113" s="24"/>
      <c r="FW113" s="24"/>
      <c r="FX113" s="24"/>
      <c r="FY113" s="24"/>
      <c r="FZ113" s="24"/>
      <c r="GA113" s="24"/>
      <c r="GB113" s="24"/>
      <c r="GC113" s="24"/>
      <c r="GD113" s="24"/>
      <c r="GE113" s="24"/>
      <c r="GF113" s="24"/>
      <c r="GG113" s="24"/>
      <c r="GH113" s="24"/>
      <c r="GI113" s="24"/>
      <c r="GJ113" s="24"/>
      <c r="GK113" s="24"/>
      <c r="GL113" s="24"/>
      <c r="GM113" s="24"/>
      <c r="GN113" s="24"/>
      <c r="GO113" s="24"/>
      <c r="GP113" s="24"/>
      <c r="GQ113" s="24"/>
      <c r="GR113" s="24"/>
      <c r="GS113" s="24"/>
      <c r="GT113" s="24"/>
      <c r="GU113" s="24"/>
      <c r="GV113" s="24"/>
      <c r="GW113" s="24"/>
      <c r="GX113" s="24"/>
      <c r="GY113" s="24"/>
      <c r="GZ113" s="24"/>
      <c r="HA113" s="24"/>
      <c r="HB113" s="24"/>
      <c r="HC113" s="24"/>
      <c r="HD113" s="24"/>
      <c r="HE113" s="24"/>
      <c r="HF113" s="24"/>
      <c r="HG113" s="24"/>
      <c r="HH113" s="24"/>
      <c r="HI113" s="24"/>
      <c r="HJ113" s="24"/>
      <c r="HK113" s="24"/>
      <c r="HL113" s="24"/>
      <c r="HM113" s="24"/>
      <c r="HN113" s="24"/>
      <c r="HO113" s="24"/>
      <c r="HP113" s="24"/>
      <c r="HQ113" s="24"/>
      <c r="HR113" s="24"/>
      <c r="HS113" s="24"/>
      <c r="HT113" s="24"/>
      <c r="HU113" s="24"/>
      <c r="HV113" s="24"/>
      <c r="HW113" s="24"/>
      <c r="HX113" s="24"/>
      <c r="HY113" s="24"/>
      <c r="HZ113" s="24"/>
      <c r="IA113" s="24"/>
      <c r="IB113" s="24"/>
      <c r="IC113" s="24"/>
      <c r="ID113" s="24"/>
      <c r="IE113" s="24"/>
      <c r="IF113" s="24"/>
      <c r="IG113" s="24"/>
      <c r="IH113" s="24"/>
      <c r="II113" s="24"/>
      <c r="IJ113" s="24"/>
      <c r="IK113" s="24"/>
      <c r="IL113" s="24"/>
      <c r="IM113" s="24"/>
      <c r="IN113" s="24"/>
      <c r="IO113" s="24"/>
      <c r="IP113" s="24"/>
      <c r="IQ113" s="24"/>
      <c r="IR113" s="24"/>
      <c r="IS113" s="24"/>
      <c r="IT113" s="24"/>
      <c r="IU113" s="24"/>
      <c r="IV113" s="24"/>
      <c r="IW113" s="24"/>
      <c r="IX113" s="24"/>
    </row>
    <row r="114" spans="1:258" s="2" customFormat="1" ht="13.05" customHeight="1">
      <c r="A114" s="187"/>
      <c r="B114" s="283" t="s">
        <v>179</v>
      </c>
      <c r="C114" s="4" t="s">
        <v>129</v>
      </c>
      <c r="D114" s="4" t="s">
        <v>178</v>
      </c>
      <c r="E114" s="4"/>
      <c r="F114" s="286"/>
      <c r="G114" s="288">
        <f t="shared" ref="G114:R114" si="52">G101</f>
        <v>-371.8</v>
      </c>
      <c r="H114" s="288">
        <f t="shared" si="52"/>
        <v>-374.5</v>
      </c>
      <c r="I114" s="288">
        <f t="shared" si="52"/>
        <v>-378</v>
      </c>
      <c r="J114" s="288">
        <f t="shared" si="52"/>
        <v>-384.1</v>
      </c>
      <c r="K114" s="288">
        <f t="shared" si="52"/>
        <v>0</v>
      </c>
      <c r="L114" s="288">
        <f t="shared" si="52"/>
        <v>0</v>
      </c>
      <c r="M114" s="288">
        <f t="shared" si="52"/>
        <v>0</v>
      </c>
      <c r="N114" s="288">
        <f t="shared" si="52"/>
        <v>0</v>
      </c>
      <c r="O114" s="288">
        <f t="shared" si="52"/>
        <v>0</v>
      </c>
      <c r="P114" s="288">
        <f t="shared" si="52"/>
        <v>0</v>
      </c>
      <c r="Q114" s="288">
        <f t="shared" si="52"/>
        <v>0</v>
      </c>
      <c r="R114" s="288">
        <f t="shared" si="52"/>
        <v>0</v>
      </c>
      <c r="T114" s="188">
        <f t="shared" si="47"/>
        <v>1</v>
      </c>
      <c r="U114" s="35">
        <v>1</v>
      </c>
      <c r="CU114" s="24"/>
      <c r="CV114" s="24"/>
      <c r="CW114" s="24"/>
      <c r="CX114" s="24"/>
      <c r="CY114" s="24"/>
      <c r="CZ114" s="24"/>
      <c r="DA114" s="24"/>
      <c r="DB114" s="24"/>
      <c r="DC114" s="24"/>
      <c r="DD114" s="24"/>
      <c r="DE114" s="24"/>
      <c r="DF114" s="24"/>
      <c r="DG114" s="24"/>
      <c r="DH114" s="24"/>
      <c r="DI114" s="24"/>
      <c r="DJ114" s="24"/>
      <c r="DK114" s="24"/>
      <c r="DL114" s="24"/>
      <c r="DM114" s="24"/>
      <c r="DN114" s="24"/>
      <c r="DO114" s="24"/>
      <c r="DP114" s="24"/>
      <c r="DQ114" s="24"/>
      <c r="DR114" s="24"/>
      <c r="DS114" s="24"/>
      <c r="DT114" s="24"/>
      <c r="DU114" s="24"/>
      <c r="DV114" s="24"/>
      <c r="DW114" s="24"/>
      <c r="DX114" s="24"/>
      <c r="DY114" s="24"/>
      <c r="DZ114" s="24"/>
      <c r="EA114" s="24"/>
      <c r="EB114" s="24"/>
      <c r="EC114" s="24"/>
      <c r="ED114" s="24"/>
      <c r="EE114" s="24"/>
      <c r="EF114" s="24"/>
      <c r="EG114" s="24"/>
      <c r="EH114" s="24"/>
      <c r="EI114" s="24"/>
      <c r="EJ114" s="24"/>
      <c r="EK114" s="24"/>
      <c r="EL114" s="24"/>
      <c r="EM114" s="24"/>
      <c r="EN114" s="24"/>
      <c r="EO114" s="24"/>
      <c r="EP114" s="24"/>
      <c r="EQ114" s="24"/>
      <c r="ER114" s="24"/>
      <c r="ES114" s="24"/>
      <c r="ET114" s="24"/>
      <c r="EU114" s="24"/>
      <c r="EV114" s="24"/>
      <c r="EW114" s="24"/>
      <c r="EX114" s="24"/>
      <c r="EY114" s="24"/>
      <c r="EZ114" s="24"/>
      <c r="FA114" s="24"/>
      <c r="FB114" s="24"/>
      <c r="FC114" s="24"/>
      <c r="FD114" s="24"/>
      <c r="FE114" s="24"/>
      <c r="FF114" s="24"/>
      <c r="FG114" s="24"/>
      <c r="FH114" s="24"/>
      <c r="FI114" s="24"/>
      <c r="FJ114" s="24"/>
      <c r="FK114" s="24"/>
      <c r="FL114" s="24"/>
      <c r="FM114" s="24"/>
      <c r="FN114" s="24"/>
      <c r="FO114" s="24"/>
      <c r="FP114" s="24"/>
      <c r="FQ114" s="24"/>
      <c r="FR114" s="24"/>
      <c r="FS114" s="24"/>
      <c r="FT114" s="24"/>
      <c r="FU114" s="24"/>
      <c r="FV114" s="24"/>
      <c r="FW114" s="24"/>
      <c r="FX114" s="24"/>
      <c r="FY114" s="24"/>
      <c r="FZ114" s="24"/>
      <c r="GA114" s="24"/>
      <c r="GB114" s="24"/>
      <c r="GC114" s="24"/>
      <c r="GD114" s="24"/>
      <c r="GE114" s="24"/>
      <c r="GF114" s="24"/>
      <c r="GG114" s="24"/>
      <c r="GH114" s="24"/>
      <c r="GI114" s="24"/>
      <c r="GJ114" s="24"/>
      <c r="GK114" s="24"/>
      <c r="GL114" s="24"/>
      <c r="GM114" s="24"/>
      <c r="GN114" s="24"/>
      <c r="GO114" s="24"/>
      <c r="GP114" s="24"/>
      <c r="GQ114" s="24"/>
      <c r="GR114" s="24"/>
      <c r="GS114" s="24"/>
      <c r="GT114" s="24"/>
      <c r="GU114" s="24"/>
      <c r="GV114" s="24"/>
      <c r="GW114" s="24"/>
      <c r="GX114" s="24"/>
      <c r="GY114" s="24"/>
      <c r="GZ114" s="24"/>
      <c r="HA114" s="24"/>
      <c r="HB114" s="24"/>
      <c r="HC114" s="24"/>
      <c r="HD114" s="24"/>
      <c r="HE114" s="24"/>
      <c r="HF114" s="24"/>
      <c r="HG114" s="24"/>
      <c r="HH114" s="24"/>
      <c r="HI114" s="24"/>
      <c r="HJ114" s="24"/>
      <c r="HK114" s="24"/>
      <c r="HL114" s="24"/>
      <c r="HM114" s="24"/>
      <c r="HN114" s="24"/>
      <c r="HO114" s="24"/>
      <c r="HP114" s="24"/>
      <c r="HQ114" s="24"/>
      <c r="HR114" s="24"/>
      <c r="HS114" s="24"/>
      <c r="HT114" s="24"/>
      <c r="HU114" s="24"/>
      <c r="HV114" s="24"/>
      <c r="HW114" s="24"/>
      <c r="HX114" s="24"/>
      <c r="HY114" s="24"/>
      <c r="HZ114" s="24"/>
      <c r="IA114" s="24"/>
      <c r="IB114" s="24"/>
      <c r="IC114" s="24"/>
      <c r="ID114" s="24"/>
      <c r="IE114" s="24"/>
      <c r="IF114" s="24"/>
      <c r="IG114" s="24"/>
      <c r="IH114" s="24"/>
      <c r="II114" s="24"/>
      <c r="IJ114" s="24"/>
      <c r="IK114" s="24"/>
      <c r="IL114" s="24"/>
      <c r="IM114" s="24"/>
      <c r="IN114" s="24"/>
      <c r="IO114" s="24"/>
      <c r="IP114" s="24"/>
      <c r="IQ114" s="24"/>
      <c r="IR114" s="24"/>
      <c r="IS114" s="24"/>
      <c r="IT114" s="24"/>
      <c r="IU114" s="24"/>
      <c r="IV114" s="24"/>
      <c r="IW114" s="24"/>
      <c r="IX114" s="24"/>
    </row>
    <row r="115" spans="1:258" s="2" customFormat="1" ht="13.05" customHeight="1">
      <c r="A115" s="187"/>
      <c r="B115" s="214" t="s">
        <v>177</v>
      </c>
      <c r="C115" s="96" t="s">
        <v>129</v>
      </c>
      <c r="D115" s="96" t="s">
        <v>128</v>
      </c>
      <c r="E115" s="287"/>
      <c r="F115" s="286"/>
      <c r="G115" s="285">
        <f>G116-(SUM(G112:G114))</f>
        <v>-0.7000000000004718</v>
      </c>
      <c r="H115" s="285">
        <f>H116-(SUM(H112:H114))</f>
        <v>-0.50000000000054001</v>
      </c>
      <c r="I115" s="285">
        <f>I116-(SUM(I112:I114))</f>
        <v>-1.1999999999999744</v>
      </c>
      <c r="J115" s="285">
        <f>J116-(SUM(J112:J114))</f>
        <v>-2.1000000000000227</v>
      </c>
      <c r="K115" s="284">
        <v>0</v>
      </c>
      <c r="L115" s="284">
        <v>0</v>
      </c>
      <c r="M115" s="284">
        <v>0</v>
      </c>
      <c r="N115" s="284">
        <v>0</v>
      </c>
      <c r="O115" s="284">
        <v>0</v>
      </c>
      <c r="P115" s="284">
        <v>0</v>
      </c>
      <c r="Q115" s="284">
        <v>0</v>
      </c>
      <c r="R115" s="284">
        <v>0</v>
      </c>
      <c r="T115" s="188">
        <f t="shared" si="47"/>
        <v>1</v>
      </c>
      <c r="U115" s="35">
        <v>1</v>
      </c>
      <c r="CU115" s="24"/>
      <c r="CV115" s="24"/>
      <c r="CW115" s="24"/>
      <c r="CX115" s="24"/>
      <c r="CY115" s="24"/>
      <c r="CZ115" s="24"/>
      <c r="DA115" s="24"/>
      <c r="DB115" s="24"/>
      <c r="DC115" s="24"/>
      <c r="DD115" s="24"/>
      <c r="DE115" s="24"/>
      <c r="DF115" s="24"/>
      <c r="DG115" s="24"/>
      <c r="DH115" s="24"/>
      <c r="DI115" s="24"/>
      <c r="DJ115" s="24"/>
      <c r="DK115" s="24"/>
      <c r="DL115" s="24"/>
      <c r="DM115" s="24"/>
      <c r="DN115" s="24"/>
      <c r="DO115" s="24"/>
      <c r="DP115" s="24"/>
      <c r="DQ115" s="24"/>
      <c r="DR115" s="24"/>
      <c r="DS115" s="24"/>
      <c r="DT115" s="24"/>
      <c r="DU115" s="24"/>
      <c r="DV115" s="24"/>
      <c r="DW115" s="24"/>
      <c r="DX115" s="24"/>
      <c r="DY115" s="24"/>
      <c r="DZ115" s="24"/>
      <c r="EA115" s="24"/>
      <c r="EB115" s="24"/>
      <c r="EC115" s="24"/>
      <c r="ED115" s="24"/>
      <c r="EE115" s="24"/>
      <c r="EF115" s="24"/>
      <c r="EG115" s="24"/>
      <c r="EH115" s="24"/>
      <c r="EI115" s="24"/>
      <c r="EJ115" s="24"/>
      <c r="EK115" s="24"/>
      <c r="EL115" s="24"/>
      <c r="EM115" s="24"/>
      <c r="EN115" s="24"/>
      <c r="EO115" s="24"/>
      <c r="EP115" s="24"/>
      <c r="EQ115" s="24"/>
      <c r="ER115" s="24"/>
      <c r="ES115" s="24"/>
      <c r="ET115" s="24"/>
      <c r="EU115" s="24"/>
      <c r="EV115" s="24"/>
      <c r="EW115" s="24"/>
      <c r="EX115" s="24"/>
      <c r="EY115" s="24"/>
      <c r="EZ115" s="24"/>
      <c r="FA115" s="24"/>
      <c r="FB115" s="24"/>
      <c r="FC115" s="24"/>
      <c r="FD115" s="24"/>
      <c r="FE115" s="24"/>
      <c r="FF115" s="24"/>
      <c r="FG115" s="24"/>
      <c r="FH115" s="24"/>
      <c r="FI115" s="24"/>
      <c r="FJ115" s="24"/>
      <c r="FK115" s="24"/>
      <c r="FL115" s="24"/>
      <c r="FM115" s="24"/>
      <c r="FN115" s="24"/>
      <c r="FO115" s="24"/>
      <c r="FP115" s="24"/>
      <c r="FQ115" s="24"/>
      <c r="FR115" s="24"/>
      <c r="FS115" s="24"/>
      <c r="FT115" s="24"/>
      <c r="FU115" s="24"/>
      <c r="FV115" s="24"/>
      <c r="FW115" s="24"/>
      <c r="FX115" s="24"/>
      <c r="FY115" s="24"/>
      <c r="FZ115" s="24"/>
      <c r="GA115" s="24"/>
      <c r="GB115" s="24"/>
      <c r="GC115" s="24"/>
      <c r="GD115" s="24"/>
      <c r="GE115" s="24"/>
      <c r="GF115" s="24"/>
      <c r="GG115" s="24"/>
      <c r="GH115" s="24"/>
      <c r="GI115" s="24"/>
      <c r="GJ115" s="24"/>
      <c r="GK115" s="24"/>
      <c r="GL115" s="24"/>
      <c r="GM115" s="24"/>
      <c r="GN115" s="24"/>
      <c r="GO115" s="24"/>
      <c r="GP115" s="24"/>
      <c r="GQ115" s="24"/>
      <c r="GR115" s="24"/>
      <c r="GS115" s="24"/>
      <c r="GT115" s="24"/>
      <c r="GU115" s="24"/>
      <c r="GV115" s="24"/>
      <c r="GW115" s="24"/>
      <c r="GX115" s="24"/>
      <c r="GY115" s="24"/>
      <c r="GZ115" s="24"/>
      <c r="HA115" s="24"/>
      <c r="HB115" s="24"/>
      <c r="HC115" s="24"/>
      <c r="HD115" s="24"/>
      <c r="HE115" s="24"/>
      <c r="HF115" s="24"/>
      <c r="HG115" s="24"/>
      <c r="HH115" s="24"/>
      <c r="HI115" s="24"/>
      <c r="HJ115" s="24"/>
      <c r="HK115" s="24"/>
      <c r="HL115" s="24"/>
      <c r="HM115" s="24"/>
      <c r="HN115" s="24"/>
      <c r="HO115" s="24"/>
      <c r="HP115" s="24"/>
      <c r="HQ115" s="24"/>
      <c r="HR115" s="24"/>
      <c r="HS115" s="24"/>
      <c r="HT115" s="24"/>
      <c r="HU115" s="24"/>
      <c r="HV115" s="24"/>
      <c r="HW115" s="24"/>
      <c r="HX115" s="24"/>
      <c r="HY115" s="24"/>
      <c r="HZ115" s="24"/>
      <c r="IA115" s="24"/>
      <c r="IB115" s="24"/>
      <c r="IC115" s="24"/>
      <c r="ID115" s="24"/>
      <c r="IE115" s="24"/>
      <c r="IF115" s="24"/>
      <c r="IG115" s="24"/>
      <c r="IH115" s="24"/>
      <c r="II115" s="24"/>
      <c r="IJ115" s="24"/>
      <c r="IK115" s="24"/>
      <c r="IL115" s="24"/>
      <c r="IM115" s="24"/>
      <c r="IN115" s="24"/>
      <c r="IO115" s="24"/>
      <c r="IP115" s="24"/>
      <c r="IQ115" s="24"/>
      <c r="IR115" s="24"/>
      <c r="IS115" s="24"/>
      <c r="IT115" s="24"/>
      <c r="IU115" s="24"/>
      <c r="IV115" s="24"/>
      <c r="IW115" s="24"/>
      <c r="IX115" s="24"/>
    </row>
    <row r="116" spans="1:258" s="2" customFormat="1" ht="13.05" customHeight="1">
      <c r="A116" s="187"/>
      <c r="B116" s="283" t="s">
        <v>176</v>
      </c>
      <c r="C116" s="4" t="s">
        <v>129</v>
      </c>
      <c r="D116" s="4" t="s">
        <v>128</v>
      </c>
      <c r="E116" s="24"/>
      <c r="F116" s="282">
        <f>'DCF - Financials'!F144</f>
        <v>-219.5</v>
      </c>
      <c r="G116" s="281">
        <f>'DCF - Financials'!G144</f>
        <v>-189.6</v>
      </c>
      <c r="H116" s="281">
        <f>'DCF - Financials'!H144</f>
        <v>-104.1</v>
      </c>
      <c r="I116" s="281">
        <f>'DCF - Financials'!I144</f>
        <v>107.7</v>
      </c>
      <c r="J116" s="281">
        <f>'DCF - Financials'!J144</f>
        <v>119</v>
      </c>
      <c r="K116" s="280">
        <f t="shared" ref="K116:R116" si="53">SUM(K112:K115)</f>
        <v>119</v>
      </c>
      <c r="L116" s="280">
        <f t="shared" si="53"/>
        <v>119</v>
      </c>
      <c r="M116" s="280">
        <f t="shared" si="53"/>
        <v>119</v>
      </c>
      <c r="N116" s="280">
        <f t="shared" si="53"/>
        <v>119</v>
      </c>
      <c r="O116" s="280">
        <f t="shared" si="53"/>
        <v>119</v>
      </c>
      <c r="P116" s="280">
        <f t="shared" si="53"/>
        <v>119</v>
      </c>
      <c r="Q116" s="280">
        <f t="shared" si="53"/>
        <v>119</v>
      </c>
      <c r="R116" s="280">
        <f t="shared" si="53"/>
        <v>119</v>
      </c>
      <c r="T116" s="188">
        <f t="shared" si="47"/>
        <v>1</v>
      </c>
      <c r="U116" s="35">
        <v>1</v>
      </c>
      <c r="CU116" s="24"/>
      <c r="CV116" s="24"/>
      <c r="CW116" s="24"/>
      <c r="CX116" s="24"/>
      <c r="CY116" s="24"/>
      <c r="CZ116" s="24"/>
      <c r="DA116" s="24"/>
      <c r="DB116" s="24"/>
      <c r="DC116" s="24"/>
      <c r="DD116" s="24"/>
      <c r="DE116" s="24"/>
      <c r="DF116" s="24"/>
      <c r="DG116" s="24"/>
      <c r="DH116" s="24"/>
      <c r="DI116" s="24"/>
      <c r="DJ116" s="24"/>
      <c r="DK116" s="24"/>
      <c r="DL116" s="24"/>
      <c r="DM116" s="24"/>
      <c r="DN116" s="24"/>
      <c r="DO116" s="24"/>
      <c r="DP116" s="24"/>
      <c r="DQ116" s="24"/>
      <c r="DR116" s="24"/>
      <c r="DS116" s="24"/>
      <c r="DT116" s="24"/>
      <c r="DU116" s="24"/>
      <c r="DV116" s="24"/>
      <c r="DW116" s="24"/>
      <c r="DX116" s="24"/>
      <c r="DY116" s="24"/>
      <c r="DZ116" s="24"/>
      <c r="EA116" s="24"/>
      <c r="EB116" s="24"/>
      <c r="EC116" s="24"/>
      <c r="ED116" s="24"/>
      <c r="EE116" s="24"/>
      <c r="EF116" s="24"/>
      <c r="EG116" s="24"/>
      <c r="EH116" s="24"/>
      <c r="EI116" s="24"/>
      <c r="EJ116" s="24"/>
      <c r="EK116" s="24"/>
      <c r="EL116" s="24"/>
      <c r="EM116" s="24"/>
      <c r="EN116" s="24"/>
      <c r="EO116" s="24"/>
      <c r="EP116" s="24"/>
      <c r="EQ116" s="24"/>
      <c r="ER116" s="24"/>
      <c r="ES116" s="24"/>
      <c r="ET116" s="24"/>
      <c r="EU116" s="24"/>
      <c r="EV116" s="24"/>
      <c r="EW116" s="24"/>
      <c r="EX116" s="24"/>
      <c r="EY116" s="24"/>
      <c r="EZ116" s="24"/>
      <c r="FA116" s="24"/>
      <c r="FB116" s="24"/>
      <c r="FC116" s="24"/>
      <c r="FD116" s="24"/>
      <c r="FE116" s="24"/>
      <c r="FF116" s="24"/>
      <c r="FG116" s="24"/>
      <c r="FH116" s="24"/>
      <c r="FI116" s="24"/>
      <c r="FJ116" s="24"/>
      <c r="FK116" s="24"/>
      <c r="FL116" s="24"/>
      <c r="FM116" s="24"/>
      <c r="FN116" s="24"/>
      <c r="FO116" s="24"/>
      <c r="FP116" s="24"/>
      <c r="FQ116" s="24"/>
      <c r="FR116" s="24"/>
      <c r="FS116" s="24"/>
      <c r="FT116" s="24"/>
      <c r="FU116" s="24"/>
      <c r="FV116" s="24"/>
      <c r="FW116" s="24"/>
      <c r="FX116" s="24"/>
      <c r="FY116" s="24"/>
      <c r="FZ116" s="24"/>
      <c r="GA116" s="24"/>
      <c r="GB116" s="24"/>
      <c r="GC116" s="24"/>
      <c r="GD116" s="24"/>
      <c r="GE116" s="24"/>
      <c r="GF116" s="24"/>
      <c r="GG116" s="24"/>
      <c r="GH116" s="24"/>
      <c r="GI116" s="24"/>
      <c r="GJ116" s="24"/>
      <c r="GK116" s="24"/>
      <c r="GL116" s="24"/>
      <c r="GM116" s="24"/>
      <c r="GN116" s="24"/>
      <c r="GO116" s="24"/>
      <c r="GP116" s="24"/>
      <c r="GQ116" s="24"/>
      <c r="GR116" s="24"/>
      <c r="GS116" s="24"/>
      <c r="GT116" s="24"/>
      <c r="GU116" s="24"/>
      <c r="GV116" s="24"/>
      <c r="GW116" s="24"/>
      <c r="GX116" s="24"/>
      <c r="GY116" s="24"/>
      <c r="GZ116" s="24"/>
      <c r="HA116" s="24"/>
      <c r="HB116" s="24"/>
      <c r="HC116" s="24"/>
      <c r="HD116" s="24"/>
      <c r="HE116" s="24"/>
      <c r="HF116" s="24"/>
      <c r="HG116" s="24"/>
      <c r="HH116" s="24"/>
      <c r="HI116" s="24"/>
      <c r="HJ116" s="24"/>
      <c r="HK116" s="24"/>
      <c r="HL116" s="24"/>
      <c r="HM116" s="24"/>
      <c r="HN116" s="24"/>
      <c r="HO116" s="24"/>
      <c r="HP116" s="24"/>
      <c r="HQ116" s="24"/>
      <c r="HR116" s="24"/>
      <c r="HS116" s="24"/>
      <c r="HT116" s="24"/>
      <c r="HU116" s="24"/>
      <c r="HV116" s="24"/>
      <c r="HW116" s="24"/>
      <c r="HX116" s="24"/>
      <c r="HY116" s="24"/>
      <c r="HZ116" s="24"/>
      <c r="IA116" s="24"/>
      <c r="IB116" s="24"/>
      <c r="IC116" s="24"/>
      <c r="ID116" s="24"/>
      <c r="IE116" s="24"/>
      <c r="IF116" s="24"/>
      <c r="IG116" s="24"/>
      <c r="IH116" s="24"/>
      <c r="II116" s="24"/>
      <c r="IJ116" s="24"/>
      <c r="IK116" s="24"/>
      <c r="IL116" s="24"/>
      <c r="IM116" s="24"/>
      <c r="IN116" s="24"/>
      <c r="IO116" s="24"/>
      <c r="IP116" s="24"/>
      <c r="IQ116" s="24"/>
      <c r="IR116" s="24"/>
      <c r="IS116" s="24"/>
      <c r="IT116" s="24"/>
      <c r="IU116" s="24"/>
      <c r="IV116" s="24"/>
      <c r="IW116" s="24"/>
      <c r="IX116" s="24"/>
    </row>
    <row r="117" spans="1:258" ht="14.4">
      <c r="T117"/>
      <c r="U117"/>
    </row>
    <row r="118" spans="1:258" ht="14.4" hidden="1">
      <c r="T118"/>
      <c r="U118"/>
    </row>
    <row r="119" spans="1:258" ht="10.199999999999999" hidden="1">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c r="CQ119" s="24"/>
      <c r="CR119" s="24"/>
      <c r="CS119" s="24"/>
      <c r="CT119" s="24"/>
    </row>
    <row r="120" spans="1:258" ht="10.199999999999999" hidden="1">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c r="CA120" s="24"/>
      <c r="CB120" s="24"/>
      <c r="CC120" s="24"/>
      <c r="CD120" s="24"/>
      <c r="CE120" s="24"/>
      <c r="CF120" s="24"/>
      <c r="CG120" s="24"/>
      <c r="CH120" s="24"/>
      <c r="CI120" s="24"/>
      <c r="CJ120" s="24"/>
      <c r="CK120" s="24"/>
      <c r="CL120" s="24"/>
      <c r="CM120" s="24"/>
      <c r="CN120" s="24"/>
      <c r="CO120" s="24"/>
      <c r="CP120" s="24"/>
      <c r="CQ120" s="24"/>
      <c r="CR120" s="24"/>
      <c r="CS120" s="24"/>
      <c r="CT120" s="24"/>
    </row>
    <row r="121" spans="1:258" ht="10.199999999999999" hidden="1">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24"/>
      <c r="CC121" s="24"/>
      <c r="CD121" s="24"/>
      <c r="CE121" s="24"/>
      <c r="CF121" s="24"/>
      <c r="CG121" s="24"/>
      <c r="CH121" s="24"/>
      <c r="CI121" s="24"/>
      <c r="CJ121" s="24"/>
      <c r="CK121" s="24"/>
      <c r="CL121" s="24"/>
      <c r="CM121" s="24"/>
      <c r="CN121" s="24"/>
      <c r="CO121" s="24"/>
      <c r="CP121" s="24"/>
      <c r="CQ121" s="24"/>
      <c r="CR121" s="24"/>
      <c r="CS121" s="24"/>
      <c r="CT121" s="24"/>
    </row>
    <row r="122" spans="1:258" ht="10.199999999999999" hidden="1">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row>
    <row r="123" spans="1:258" ht="10.199999999999999" hidden="1">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c r="CG123" s="24"/>
      <c r="CH123" s="24"/>
      <c r="CI123" s="24"/>
      <c r="CJ123" s="24"/>
      <c r="CK123" s="24"/>
      <c r="CL123" s="24"/>
      <c r="CM123" s="24"/>
      <c r="CN123" s="24"/>
      <c r="CO123" s="24"/>
      <c r="CP123" s="24"/>
      <c r="CQ123" s="24"/>
      <c r="CR123" s="24"/>
      <c r="CS123" s="24"/>
      <c r="CT123" s="24"/>
    </row>
    <row r="124" spans="1:258" ht="10.199999999999999" hidden="1">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c r="BZ124" s="24"/>
      <c r="CA124" s="24"/>
      <c r="CB124" s="24"/>
      <c r="CC124" s="24"/>
      <c r="CD124" s="24"/>
      <c r="CE124" s="24"/>
      <c r="CF124" s="24"/>
      <c r="CG124" s="24"/>
      <c r="CH124" s="24"/>
      <c r="CI124" s="24"/>
      <c r="CJ124" s="24"/>
      <c r="CK124" s="24"/>
      <c r="CL124" s="24"/>
      <c r="CM124" s="24"/>
      <c r="CN124" s="24"/>
      <c r="CO124" s="24"/>
      <c r="CP124" s="24"/>
      <c r="CQ124" s="24"/>
      <c r="CR124" s="24"/>
      <c r="CS124" s="24"/>
      <c r="CT124" s="24"/>
    </row>
    <row r="125" spans="1:258" ht="10.199999999999999" hidden="1">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c r="BY125" s="24"/>
      <c r="BZ125" s="24"/>
      <c r="CA125" s="24"/>
      <c r="CB125" s="24"/>
      <c r="CC125" s="24"/>
      <c r="CD125" s="24"/>
      <c r="CE125" s="24"/>
      <c r="CF125" s="24"/>
      <c r="CG125" s="24"/>
      <c r="CH125" s="24"/>
      <c r="CI125" s="24"/>
      <c r="CJ125" s="24"/>
      <c r="CK125" s="24"/>
      <c r="CL125" s="24"/>
      <c r="CM125" s="24"/>
      <c r="CN125" s="24"/>
      <c r="CO125" s="24"/>
      <c r="CP125" s="24"/>
      <c r="CQ125" s="24"/>
      <c r="CR125" s="24"/>
      <c r="CS125" s="24"/>
      <c r="CT125" s="24"/>
    </row>
    <row r="126" spans="1:258" ht="10.199999999999999" hidden="1">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c r="BY126" s="24"/>
      <c r="BZ126" s="24"/>
      <c r="CA126" s="24"/>
      <c r="CB126" s="24"/>
      <c r="CC126" s="24"/>
      <c r="CD126" s="24"/>
      <c r="CE126" s="24"/>
      <c r="CF126" s="24"/>
      <c r="CG126" s="24"/>
      <c r="CH126" s="24"/>
      <c r="CI126" s="24"/>
      <c r="CJ126" s="24"/>
      <c r="CK126" s="24"/>
      <c r="CL126" s="24"/>
      <c r="CM126" s="24"/>
      <c r="CN126" s="24"/>
      <c r="CO126" s="24"/>
      <c r="CP126" s="24"/>
      <c r="CQ126" s="24"/>
      <c r="CR126" s="24"/>
      <c r="CS126" s="24"/>
      <c r="CT126" s="24"/>
    </row>
    <row r="127" spans="1:258" ht="10.199999999999999" hidden="1">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c r="BZ127" s="24"/>
      <c r="CA127" s="24"/>
      <c r="CB127" s="24"/>
      <c r="CC127" s="24"/>
      <c r="CD127" s="24"/>
      <c r="CE127" s="24"/>
      <c r="CF127" s="24"/>
      <c r="CG127" s="24"/>
      <c r="CH127" s="24"/>
      <c r="CI127" s="24"/>
      <c r="CJ127" s="24"/>
      <c r="CK127" s="24"/>
      <c r="CL127" s="24"/>
      <c r="CM127" s="24"/>
      <c r="CN127" s="24"/>
      <c r="CO127" s="24"/>
      <c r="CP127" s="24"/>
      <c r="CQ127" s="24"/>
      <c r="CR127" s="24"/>
      <c r="CS127" s="24"/>
      <c r="CT127" s="24"/>
    </row>
    <row r="128" spans="1:258" ht="10.199999999999999" hidden="1">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c r="BY128" s="24"/>
      <c r="BZ128" s="24"/>
      <c r="CA128" s="24"/>
      <c r="CB128" s="24"/>
      <c r="CC128" s="24"/>
      <c r="CD128" s="24"/>
      <c r="CE128" s="24"/>
      <c r="CF128" s="24"/>
      <c r="CG128" s="24"/>
      <c r="CH128" s="24"/>
      <c r="CI128" s="24"/>
      <c r="CJ128" s="24"/>
      <c r="CK128" s="24"/>
      <c r="CL128" s="24"/>
      <c r="CM128" s="24"/>
      <c r="CN128" s="24"/>
      <c r="CO128" s="24"/>
      <c r="CP128" s="24"/>
      <c r="CQ128" s="24"/>
      <c r="CR128" s="24"/>
      <c r="CS128" s="24"/>
      <c r="CT128" s="24"/>
    </row>
    <row r="129" spans="19:98" ht="10.199999999999999" hidden="1">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c r="BY129" s="24"/>
      <c r="BZ129" s="24"/>
      <c r="CA129" s="24"/>
      <c r="CB129" s="24"/>
      <c r="CC129" s="24"/>
      <c r="CD129" s="24"/>
      <c r="CE129" s="24"/>
      <c r="CF129" s="24"/>
      <c r="CG129" s="24"/>
      <c r="CH129" s="24"/>
      <c r="CI129" s="24"/>
      <c r="CJ129" s="24"/>
      <c r="CK129" s="24"/>
      <c r="CL129" s="24"/>
      <c r="CM129" s="24"/>
      <c r="CN129" s="24"/>
      <c r="CO129" s="24"/>
      <c r="CP129" s="24"/>
      <c r="CQ129" s="24"/>
      <c r="CR129" s="24"/>
      <c r="CS129" s="24"/>
      <c r="CT129" s="24"/>
    </row>
    <row r="130" spans="19:98" ht="10.199999999999999" hidden="1">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c r="BY130" s="24"/>
      <c r="BZ130" s="24"/>
      <c r="CA130" s="24"/>
      <c r="CB130" s="24"/>
      <c r="CC130" s="24"/>
      <c r="CD130" s="24"/>
      <c r="CE130" s="24"/>
      <c r="CF130" s="24"/>
      <c r="CG130" s="24"/>
      <c r="CH130" s="24"/>
      <c r="CI130" s="24"/>
      <c r="CJ130" s="24"/>
      <c r="CK130" s="24"/>
      <c r="CL130" s="24"/>
      <c r="CM130" s="24"/>
      <c r="CN130" s="24"/>
      <c r="CO130" s="24"/>
      <c r="CP130" s="24"/>
      <c r="CQ130" s="24"/>
      <c r="CR130" s="24"/>
      <c r="CS130" s="24"/>
      <c r="CT130" s="24"/>
    </row>
    <row r="131" spans="19:98" ht="10.199999999999999" hidden="1">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c r="CB131" s="24"/>
      <c r="CC131" s="24"/>
      <c r="CD131" s="24"/>
      <c r="CE131" s="24"/>
      <c r="CF131" s="24"/>
      <c r="CG131" s="24"/>
      <c r="CH131" s="24"/>
      <c r="CI131" s="24"/>
      <c r="CJ131" s="24"/>
      <c r="CK131" s="24"/>
      <c r="CL131" s="24"/>
      <c r="CM131" s="24"/>
      <c r="CN131" s="24"/>
      <c r="CO131" s="24"/>
      <c r="CP131" s="24"/>
      <c r="CQ131" s="24"/>
      <c r="CR131" s="24"/>
      <c r="CS131" s="24"/>
      <c r="CT131" s="24"/>
    </row>
    <row r="132" spans="19:98" ht="10.199999999999999" hidden="1">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4"/>
      <c r="BZ132" s="24"/>
      <c r="CA132" s="24"/>
      <c r="CB132" s="24"/>
      <c r="CC132" s="24"/>
      <c r="CD132" s="24"/>
      <c r="CE132" s="24"/>
      <c r="CF132" s="24"/>
      <c r="CG132" s="24"/>
      <c r="CH132" s="24"/>
      <c r="CI132" s="24"/>
      <c r="CJ132" s="24"/>
      <c r="CK132" s="24"/>
      <c r="CL132" s="24"/>
      <c r="CM132" s="24"/>
      <c r="CN132" s="24"/>
      <c r="CO132" s="24"/>
      <c r="CP132" s="24"/>
      <c r="CQ132" s="24"/>
      <c r="CR132" s="24"/>
      <c r="CS132" s="24"/>
      <c r="CT132" s="24"/>
    </row>
    <row r="133" spans="19:98" ht="10.199999999999999" hidden="1">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row>
    <row r="134" spans="19:98" ht="10.199999999999999" hidden="1">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row>
    <row r="135" spans="19:98" ht="10.199999999999999" hidden="1">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c r="CE135" s="24"/>
      <c r="CF135" s="24"/>
      <c r="CG135" s="24"/>
      <c r="CH135" s="24"/>
      <c r="CI135" s="24"/>
      <c r="CJ135" s="24"/>
      <c r="CK135" s="24"/>
      <c r="CL135" s="24"/>
      <c r="CM135" s="24"/>
      <c r="CN135" s="24"/>
      <c r="CO135" s="24"/>
      <c r="CP135" s="24"/>
      <c r="CQ135" s="24"/>
      <c r="CR135" s="24"/>
      <c r="CS135" s="24"/>
      <c r="CT135" s="24"/>
    </row>
    <row r="136" spans="19:98" ht="10.199999999999999" hidden="1">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row>
    <row r="137" spans="19:98" ht="10.199999999999999" hidden="1">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c r="CE137" s="24"/>
      <c r="CF137" s="24"/>
      <c r="CG137" s="24"/>
      <c r="CH137" s="24"/>
      <c r="CI137" s="24"/>
      <c r="CJ137" s="24"/>
      <c r="CK137" s="24"/>
      <c r="CL137" s="24"/>
      <c r="CM137" s="24"/>
      <c r="CN137" s="24"/>
      <c r="CO137" s="24"/>
      <c r="CP137" s="24"/>
      <c r="CQ137" s="24"/>
      <c r="CR137" s="24"/>
      <c r="CS137" s="24"/>
      <c r="CT137" s="24"/>
    </row>
    <row r="138" spans="19:98" ht="10.199999999999999" hidden="1">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24"/>
      <c r="CG138" s="24"/>
      <c r="CH138" s="24"/>
      <c r="CI138" s="24"/>
      <c r="CJ138" s="24"/>
      <c r="CK138" s="24"/>
      <c r="CL138" s="24"/>
      <c r="CM138" s="24"/>
      <c r="CN138" s="24"/>
      <c r="CO138" s="24"/>
      <c r="CP138" s="24"/>
      <c r="CQ138" s="24"/>
      <c r="CR138" s="24"/>
      <c r="CS138" s="24"/>
      <c r="CT138" s="24"/>
    </row>
    <row r="139" spans="19:98" ht="10.199999999999999" hidden="1">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c r="BY139" s="24"/>
      <c r="BZ139" s="24"/>
      <c r="CA139" s="24"/>
      <c r="CB139" s="24"/>
      <c r="CC139" s="24"/>
      <c r="CD139" s="24"/>
      <c r="CE139" s="24"/>
      <c r="CF139" s="24"/>
      <c r="CG139" s="24"/>
      <c r="CH139" s="24"/>
      <c r="CI139" s="24"/>
      <c r="CJ139" s="24"/>
      <c r="CK139" s="24"/>
      <c r="CL139" s="24"/>
      <c r="CM139" s="24"/>
      <c r="CN139" s="24"/>
      <c r="CO139" s="24"/>
      <c r="CP139" s="24"/>
      <c r="CQ139" s="24"/>
      <c r="CR139" s="24"/>
      <c r="CS139" s="24"/>
      <c r="CT139" s="24"/>
    </row>
    <row r="140" spans="19:98" ht="10.199999999999999" hidden="1">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c r="BY140" s="24"/>
      <c r="BZ140" s="24"/>
      <c r="CA140" s="24"/>
      <c r="CB140" s="24"/>
      <c r="CC140" s="24"/>
      <c r="CD140" s="24"/>
      <c r="CE140" s="24"/>
      <c r="CF140" s="24"/>
      <c r="CG140" s="24"/>
      <c r="CH140" s="24"/>
      <c r="CI140" s="24"/>
      <c r="CJ140" s="24"/>
      <c r="CK140" s="24"/>
      <c r="CL140" s="24"/>
      <c r="CM140" s="24"/>
      <c r="CN140" s="24"/>
      <c r="CO140" s="24"/>
      <c r="CP140" s="24"/>
      <c r="CQ140" s="24"/>
      <c r="CR140" s="24"/>
      <c r="CS140" s="24"/>
      <c r="CT140" s="24"/>
    </row>
    <row r="141" spans="19:98" ht="10.199999999999999" hidden="1">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c r="BY141" s="24"/>
      <c r="BZ141" s="24"/>
      <c r="CA141" s="24"/>
      <c r="CB141" s="24"/>
      <c r="CC141" s="24"/>
      <c r="CD141" s="24"/>
      <c r="CE141" s="24"/>
      <c r="CF141" s="24"/>
      <c r="CG141" s="24"/>
      <c r="CH141" s="24"/>
      <c r="CI141" s="24"/>
      <c r="CJ141" s="24"/>
      <c r="CK141" s="24"/>
      <c r="CL141" s="24"/>
      <c r="CM141" s="24"/>
      <c r="CN141" s="24"/>
      <c r="CO141" s="24"/>
      <c r="CP141" s="24"/>
      <c r="CQ141" s="24"/>
      <c r="CR141" s="24"/>
      <c r="CS141" s="24"/>
      <c r="CT141" s="24"/>
    </row>
    <row r="142" spans="19:98" ht="10.199999999999999" hidden="1">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c r="BY142" s="24"/>
      <c r="BZ142" s="24"/>
      <c r="CA142" s="24"/>
      <c r="CB142" s="24"/>
      <c r="CC142" s="24"/>
      <c r="CD142" s="24"/>
      <c r="CE142" s="24"/>
      <c r="CF142" s="24"/>
      <c r="CG142" s="24"/>
      <c r="CH142" s="24"/>
      <c r="CI142" s="24"/>
      <c r="CJ142" s="24"/>
      <c r="CK142" s="24"/>
      <c r="CL142" s="24"/>
      <c r="CM142" s="24"/>
      <c r="CN142" s="24"/>
      <c r="CO142" s="24"/>
      <c r="CP142" s="24"/>
      <c r="CQ142" s="24"/>
      <c r="CR142" s="24"/>
      <c r="CS142" s="24"/>
      <c r="CT142" s="24"/>
    </row>
    <row r="143" spans="19:98" ht="10.199999999999999" hidden="1">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c r="BU143" s="24"/>
      <c r="BV143" s="24"/>
      <c r="BW143" s="24"/>
      <c r="BX143" s="24"/>
      <c r="BY143" s="24"/>
      <c r="BZ143" s="24"/>
      <c r="CA143" s="24"/>
      <c r="CB143" s="24"/>
      <c r="CC143" s="24"/>
      <c r="CD143" s="24"/>
      <c r="CE143" s="24"/>
      <c r="CF143" s="24"/>
      <c r="CG143" s="24"/>
      <c r="CH143" s="24"/>
      <c r="CI143" s="24"/>
      <c r="CJ143" s="24"/>
      <c r="CK143" s="24"/>
      <c r="CL143" s="24"/>
      <c r="CM143" s="24"/>
      <c r="CN143" s="24"/>
      <c r="CO143" s="24"/>
      <c r="CP143" s="24"/>
      <c r="CQ143" s="24"/>
      <c r="CR143" s="24"/>
      <c r="CS143" s="24"/>
      <c r="CT143" s="24"/>
    </row>
    <row r="144" spans="19:98" ht="10.199999999999999" hidden="1">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c r="BU144" s="24"/>
      <c r="BV144" s="24"/>
      <c r="BW144" s="24"/>
      <c r="BX144" s="24"/>
      <c r="BY144" s="24"/>
      <c r="BZ144" s="24"/>
      <c r="CA144" s="24"/>
      <c r="CB144" s="24"/>
      <c r="CC144" s="24"/>
      <c r="CD144" s="24"/>
      <c r="CE144" s="24"/>
      <c r="CF144" s="24"/>
      <c r="CG144" s="24"/>
      <c r="CH144" s="24"/>
      <c r="CI144" s="24"/>
      <c r="CJ144" s="24"/>
      <c r="CK144" s="24"/>
      <c r="CL144" s="24"/>
      <c r="CM144" s="24"/>
      <c r="CN144" s="24"/>
      <c r="CO144" s="24"/>
      <c r="CP144" s="24"/>
      <c r="CQ144" s="24"/>
      <c r="CR144" s="24"/>
      <c r="CS144" s="24"/>
      <c r="CT144" s="24"/>
    </row>
    <row r="145" spans="19:98" ht="10.199999999999999" hidden="1">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c r="BU145" s="24"/>
      <c r="BV145" s="24"/>
      <c r="BW145" s="24"/>
      <c r="BX145" s="24"/>
      <c r="BY145" s="24"/>
      <c r="BZ145" s="24"/>
      <c r="CA145" s="24"/>
      <c r="CB145" s="24"/>
      <c r="CC145" s="24"/>
      <c r="CD145" s="24"/>
      <c r="CE145" s="24"/>
      <c r="CF145" s="24"/>
      <c r="CG145" s="24"/>
      <c r="CH145" s="24"/>
      <c r="CI145" s="24"/>
      <c r="CJ145" s="24"/>
      <c r="CK145" s="24"/>
      <c r="CL145" s="24"/>
      <c r="CM145" s="24"/>
      <c r="CN145" s="24"/>
      <c r="CO145" s="24"/>
      <c r="CP145" s="24"/>
      <c r="CQ145" s="24"/>
      <c r="CR145" s="24"/>
      <c r="CS145" s="24"/>
      <c r="CT145" s="24"/>
    </row>
    <row r="146" spans="19:98" ht="10.199999999999999" hidden="1">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c r="BU146" s="24"/>
      <c r="BV146" s="24"/>
      <c r="BW146" s="24"/>
      <c r="BX146" s="24"/>
      <c r="BY146" s="24"/>
      <c r="BZ146" s="24"/>
      <c r="CA146" s="24"/>
      <c r="CB146" s="24"/>
      <c r="CC146" s="24"/>
      <c r="CD146" s="24"/>
      <c r="CE146" s="24"/>
      <c r="CF146" s="24"/>
      <c r="CG146" s="24"/>
      <c r="CH146" s="24"/>
      <c r="CI146" s="24"/>
      <c r="CJ146" s="24"/>
      <c r="CK146" s="24"/>
      <c r="CL146" s="24"/>
      <c r="CM146" s="24"/>
      <c r="CN146" s="24"/>
      <c r="CO146" s="24"/>
      <c r="CP146" s="24"/>
      <c r="CQ146" s="24"/>
      <c r="CR146" s="24"/>
      <c r="CS146" s="24"/>
      <c r="CT146" s="24"/>
    </row>
    <row r="147" spans="19:98" ht="10.199999999999999" hidden="1">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c r="BY147" s="24"/>
      <c r="BZ147" s="24"/>
      <c r="CA147" s="24"/>
      <c r="CB147" s="24"/>
      <c r="CC147" s="24"/>
      <c r="CD147" s="24"/>
      <c r="CE147" s="24"/>
      <c r="CF147" s="24"/>
      <c r="CG147" s="24"/>
      <c r="CH147" s="24"/>
      <c r="CI147" s="24"/>
      <c r="CJ147" s="24"/>
      <c r="CK147" s="24"/>
      <c r="CL147" s="24"/>
      <c r="CM147" s="24"/>
      <c r="CN147" s="24"/>
      <c r="CO147" s="24"/>
      <c r="CP147" s="24"/>
      <c r="CQ147" s="24"/>
      <c r="CR147" s="24"/>
      <c r="CS147" s="24"/>
      <c r="CT147" s="24"/>
    </row>
    <row r="148" spans="19:98" ht="10.199999999999999" hidden="1">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c r="BU148" s="24"/>
      <c r="BV148" s="24"/>
      <c r="BW148" s="24"/>
      <c r="BX148" s="24"/>
      <c r="BY148" s="24"/>
      <c r="BZ148" s="24"/>
      <c r="CA148" s="24"/>
      <c r="CB148" s="24"/>
      <c r="CC148" s="24"/>
      <c r="CD148" s="24"/>
      <c r="CE148" s="24"/>
      <c r="CF148" s="24"/>
      <c r="CG148" s="24"/>
      <c r="CH148" s="24"/>
      <c r="CI148" s="24"/>
      <c r="CJ148" s="24"/>
      <c r="CK148" s="24"/>
      <c r="CL148" s="24"/>
      <c r="CM148" s="24"/>
      <c r="CN148" s="24"/>
      <c r="CO148" s="24"/>
      <c r="CP148" s="24"/>
      <c r="CQ148" s="24"/>
      <c r="CR148" s="24"/>
      <c r="CS148" s="24"/>
      <c r="CT148" s="24"/>
    </row>
    <row r="149" spans="19:98" ht="10.199999999999999" hidden="1">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c r="BU149" s="24"/>
      <c r="BV149" s="24"/>
      <c r="BW149" s="24"/>
      <c r="BX149" s="24"/>
      <c r="BY149" s="24"/>
      <c r="BZ149" s="24"/>
      <c r="CA149" s="24"/>
      <c r="CB149" s="24"/>
      <c r="CC149" s="24"/>
      <c r="CD149" s="24"/>
      <c r="CE149" s="24"/>
      <c r="CF149" s="24"/>
      <c r="CG149" s="24"/>
      <c r="CH149" s="24"/>
      <c r="CI149" s="24"/>
      <c r="CJ149" s="24"/>
      <c r="CK149" s="24"/>
      <c r="CL149" s="24"/>
      <c r="CM149" s="24"/>
      <c r="CN149" s="24"/>
      <c r="CO149" s="24"/>
      <c r="CP149" s="24"/>
      <c r="CQ149" s="24"/>
      <c r="CR149" s="24"/>
      <c r="CS149" s="24"/>
      <c r="CT149" s="24"/>
    </row>
    <row r="150" spans="19:98" ht="10.199999999999999" hidden="1">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c r="BU150" s="24"/>
      <c r="BV150" s="24"/>
      <c r="BW150" s="24"/>
      <c r="BX150" s="24"/>
      <c r="BY150" s="24"/>
      <c r="BZ150" s="24"/>
      <c r="CA150" s="24"/>
      <c r="CB150" s="24"/>
      <c r="CC150" s="24"/>
      <c r="CD150" s="24"/>
      <c r="CE150" s="24"/>
      <c r="CF150" s="24"/>
      <c r="CG150" s="24"/>
      <c r="CH150" s="24"/>
      <c r="CI150" s="24"/>
      <c r="CJ150" s="24"/>
      <c r="CK150" s="24"/>
      <c r="CL150" s="24"/>
      <c r="CM150" s="24"/>
      <c r="CN150" s="24"/>
      <c r="CO150" s="24"/>
      <c r="CP150" s="24"/>
      <c r="CQ150" s="24"/>
      <c r="CR150" s="24"/>
      <c r="CS150" s="24"/>
      <c r="CT150" s="24"/>
    </row>
    <row r="151" spans="19:98" ht="10.199999999999999" hidden="1">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c r="BU151" s="24"/>
      <c r="BV151" s="24"/>
      <c r="BW151" s="24"/>
      <c r="BX151" s="24"/>
      <c r="BY151" s="24"/>
      <c r="BZ151" s="24"/>
      <c r="CA151" s="24"/>
      <c r="CB151" s="24"/>
      <c r="CC151" s="24"/>
      <c r="CD151" s="24"/>
      <c r="CE151" s="24"/>
      <c r="CF151" s="24"/>
      <c r="CG151" s="24"/>
      <c r="CH151" s="24"/>
      <c r="CI151" s="24"/>
      <c r="CJ151" s="24"/>
      <c r="CK151" s="24"/>
      <c r="CL151" s="24"/>
      <c r="CM151" s="24"/>
      <c r="CN151" s="24"/>
      <c r="CO151" s="24"/>
      <c r="CP151" s="24"/>
      <c r="CQ151" s="24"/>
      <c r="CR151" s="24"/>
      <c r="CS151" s="24"/>
      <c r="CT151" s="24"/>
    </row>
    <row r="152" spans="19:98" ht="10.199999999999999" hidden="1">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c r="BY152" s="24"/>
      <c r="BZ152" s="24"/>
      <c r="CA152" s="24"/>
      <c r="CB152" s="24"/>
      <c r="CC152" s="24"/>
      <c r="CD152" s="24"/>
      <c r="CE152" s="24"/>
      <c r="CF152" s="24"/>
      <c r="CG152" s="24"/>
      <c r="CH152" s="24"/>
      <c r="CI152" s="24"/>
      <c r="CJ152" s="24"/>
      <c r="CK152" s="24"/>
      <c r="CL152" s="24"/>
      <c r="CM152" s="24"/>
      <c r="CN152" s="24"/>
      <c r="CO152" s="24"/>
      <c r="CP152" s="24"/>
      <c r="CQ152" s="24"/>
      <c r="CR152" s="24"/>
      <c r="CS152" s="24"/>
      <c r="CT152" s="24"/>
    </row>
    <row r="153" spans="19:98" ht="10.199999999999999" hidden="1">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c r="BY153" s="24"/>
      <c r="BZ153" s="24"/>
      <c r="CA153" s="24"/>
      <c r="CB153" s="24"/>
      <c r="CC153" s="24"/>
      <c r="CD153" s="24"/>
      <c r="CE153" s="24"/>
      <c r="CF153" s="24"/>
      <c r="CG153" s="24"/>
      <c r="CH153" s="24"/>
      <c r="CI153" s="24"/>
      <c r="CJ153" s="24"/>
      <c r="CK153" s="24"/>
      <c r="CL153" s="24"/>
      <c r="CM153" s="24"/>
      <c r="CN153" s="24"/>
      <c r="CO153" s="24"/>
      <c r="CP153" s="24"/>
      <c r="CQ153" s="24"/>
      <c r="CR153" s="24"/>
      <c r="CS153" s="24"/>
      <c r="CT153" s="24"/>
    </row>
    <row r="154" spans="19:98" ht="10.199999999999999" hidden="1">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c r="BU154" s="24"/>
      <c r="BV154" s="24"/>
      <c r="BW154" s="24"/>
      <c r="BX154" s="24"/>
      <c r="BY154" s="24"/>
      <c r="BZ154" s="24"/>
      <c r="CA154" s="24"/>
      <c r="CB154" s="24"/>
      <c r="CC154" s="24"/>
      <c r="CD154" s="24"/>
      <c r="CE154" s="24"/>
      <c r="CF154" s="24"/>
      <c r="CG154" s="24"/>
      <c r="CH154" s="24"/>
      <c r="CI154" s="24"/>
      <c r="CJ154" s="24"/>
      <c r="CK154" s="24"/>
      <c r="CL154" s="24"/>
      <c r="CM154" s="24"/>
      <c r="CN154" s="24"/>
      <c r="CO154" s="24"/>
      <c r="CP154" s="24"/>
      <c r="CQ154" s="24"/>
      <c r="CR154" s="24"/>
      <c r="CS154" s="24"/>
      <c r="CT154" s="24"/>
    </row>
    <row r="155" spans="19:98" ht="10.199999999999999" hidden="1">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c r="BU155" s="24"/>
      <c r="BV155" s="24"/>
      <c r="BW155" s="24"/>
      <c r="BX155" s="24"/>
      <c r="BY155" s="24"/>
      <c r="BZ155" s="24"/>
      <c r="CA155" s="24"/>
      <c r="CB155" s="24"/>
      <c r="CC155" s="24"/>
      <c r="CD155" s="24"/>
      <c r="CE155" s="24"/>
      <c r="CF155" s="24"/>
      <c r="CG155" s="24"/>
      <c r="CH155" s="24"/>
      <c r="CI155" s="24"/>
      <c r="CJ155" s="24"/>
      <c r="CK155" s="24"/>
      <c r="CL155" s="24"/>
      <c r="CM155" s="24"/>
      <c r="CN155" s="24"/>
      <c r="CO155" s="24"/>
      <c r="CP155" s="24"/>
      <c r="CQ155" s="24"/>
      <c r="CR155" s="24"/>
      <c r="CS155" s="24"/>
      <c r="CT155" s="24"/>
    </row>
    <row r="156" spans="19:98" ht="10.199999999999999" hidden="1">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c r="BU156" s="24"/>
      <c r="BV156" s="24"/>
      <c r="BW156" s="24"/>
      <c r="BX156" s="24"/>
      <c r="BY156" s="24"/>
      <c r="BZ156" s="24"/>
      <c r="CA156" s="24"/>
      <c r="CB156" s="24"/>
      <c r="CC156" s="24"/>
      <c r="CD156" s="24"/>
      <c r="CE156" s="24"/>
      <c r="CF156" s="24"/>
      <c r="CG156" s="24"/>
      <c r="CH156" s="24"/>
      <c r="CI156" s="24"/>
      <c r="CJ156" s="24"/>
      <c r="CK156" s="24"/>
      <c r="CL156" s="24"/>
      <c r="CM156" s="24"/>
      <c r="CN156" s="24"/>
      <c r="CO156" s="24"/>
      <c r="CP156" s="24"/>
      <c r="CQ156" s="24"/>
      <c r="CR156" s="24"/>
      <c r="CS156" s="24"/>
      <c r="CT156" s="24"/>
    </row>
    <row r="157" spans="19:98" ht="10.199999999999999" hidden="1">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c r="BU157" s="24"/>
      <c r="BV157" s="24"/>
      <c r="BW157" s="24"/>
      <c r="BX157" s="24"/>
      <c r="BY157" s="24"/>
      <c r="BZ157" s="24"/>
      <c r="CA157" s="24"/>
      <c r="CB157" s="24"/>
      <c r="CC157" s="24"/>
      <c r="CD157" s="24"/>
      <c r="CE157" s="24"/>
      <c r="CF157" s="24"/>
      <c r="CG157" s="24"/>
      <c r="CH157" s="24"/>
      <c r="CI157" s="24"/>
      <c r="CJ157" s="24"/>
      <c r="CK157" s="24"/>
      <c r="CL157" s="24"/>
      <c r="CM157" s="24"/>
      <c r="CN157" s="24"/>
      <c r="CO157" s="24"/>
      <c r="CP157" s="24"/>
      <c r="CQ157" s="24"/>
      <c r="CR157" s="24"/>
      <c r="CS157" s="24"/>
      <c r="CT157" s="24"/>
    </row>
    <row r="158" spans="19:98" ht="10.199999999999999" hidden="1">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c r="BU158" s="24"/>
      <c r="BV158" s="24"/>
      <c r="BW158" s="24"/>
      <c r="BX158" s="24"/>
      <c r="BY158" s="24"/>
      <c r="BZ158" s="24"/>
      <c r="CA158" s="24"/>
      <c r="CB158" s="24"/>
      <c r="CC158" s="24"/>
      <c r="CD158" s="24"/>
      <c r="CE158" s="24"/>
      <c r="CF158" s="24"/>
      <c r="CG158" s="24"/>
      <c r="CH158" s="24"/>
      <c r="CI158" s="24"/>
      <c r="CJ158" s="24"/>
      <c r="CK158" s="24"/>
      <c r="CL158" s="24"/>
      <c r="CM158" s="24"/>
      <c r="CN158" s="24"/>
      <c r="CO158" s="24"/>
      <c r="CP158" s="24"/>
      <c r="CQ158" s="24"/>
      <c r="CR158" s="24"/>
      <c r="CS158" s="24"/>
      <c r="CT158" s="24"/>
    </row>
    <row r="159" spans="19:98" ht="10.199999999999999" hidden="1">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c r="BU159" s="24"/>
      <c r="BV159" s="24"/>
      <c r="BW159" s="24"/>
      <c r="BX159" s="24"/>
      <c r="BY159" s="24"/>
      <c r="BZ159" s="24"/>
      <c r="CA159" s="24"/>
      <c r="CB159" s="24"/>
      <c r="CC159" s="24"/>
      <c r="CD159" s="24"/>
      <c r="CE159" s="24"/>
      <c r="CF159" s="24"/>
      <c r="CG159" s="24"/>
      <c r="CH159" s="24"/>
      <c r="CI159" s="24"/>
      <c r="CJ159" s="24"/>
      <c r="CK159" s="24"/>
      <c r="CL159" s="24"/>
      <c r="CM159" s="24"/>
      <c r="CN159" s="24"/>
      <c r="CO159" s="24"/>
      <c r="CP159" s="24"/>
      <c r="CQ159" s="24"/>
      <c r="CR159" s="24"/>
      <c r="CS159" s="24"/>
      <c r="CT159" s="24"/>
    </row>
    <row r="160" spans="19:98" ht="10.199999999999999" hidden="1">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c r="BU160" s="24"/>
      <c r="BV160" s="24"/>
      <c r="BW160" s="24"/>
      <c r="BX160" s="24"/>
      <c r="BY160" s="24"/>
      <c r="BZ160" s="24"/>
      <c r="CA160" s="24"/>
      <c r="CB160" s="24"/>
      <c r="CC160" s="24"/>
      <c r="CD160" s="24"/>
      <c r="CE160" s="24"/>
      <c r="CF160" s="24"/>
      <c r="CG160" s="24"/>
      <c r="CH160" s="24"/>
      <c r="CI160" s="24"/>
      <c r="CJ160" s="24"/>
      <c r="CK160" s="24"/>
      <c r="CL160" s="24"/>
      <c r="CM160" s="24"/>
      <c r="CN160" s="24"/>
      <c r="CO160" s="24"/>
      <c r="CP160" s="24"/>
      <c r="CQ160" s="24"/>
      <c r="CR160" s="24"/>
      <c r="CS160" s="24"/>
      <c r="CT160" s="24"/>
    </row>
    <row r="161" spans="19:98" ht="10.199999999999999" hidden="1">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c r="BU161" s="24"/>
      <c r="BV161" s="24"/>
      <c r="BW161" s="24"/>
      <c r="BX161" s="24"/>
      <c r="BY161" s="24"/>
      <c r="BZ161" s="24"/>
      <c r="CA161" s="24"/>
      <c r="CB161" s="24"/>
      <c r="CC161" s="24"/>
      <c r="CD161" s="24"/>
      <c r="CE161" s="24"/>
      <c r="CF161" s="24"/>
      <c r="CG161" s="24"/>
      <c r="CH161" s="24"/>
      <c r="CI161" s="24"/>
      <c r="CJ161" s="24"/>
      <c r="CK161" s="24"/>
      <c r="CL161" s="24"/>
      <c r="CM161" s="24"/>
      <c r="CN161" s="24"/>
      <c r="CO161" s="24"/>
      <c r="CP161" s="24"/>
      <c r="CQ161" s="24"/>
      <c r="CR161" s="24"/>
      <c r="CS161" s="24"/>
      <c r="CT161" s="24"/>
    </row>
    <row r="162" spans="19:98" ht="10.199999999999999" hidden="1">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c r="BY162" s="24"/>
      <c r="BZ162" s="24"/>
      <c r="CA162" s="24"/>
      <c r="CB162" s="24"/>
      <c r="CC162" s="24"/>
      <c r="CD162" s="24"/>
      <c r="CE162" s="24"/>
      <c r="CF162" s="24"/>
      <c r="CG162" s="24"/>
      <c r="CH162" s="24"/>
      <c r="CI162" s="24"/>
      <c r="CJ162" s="24"/>
      <c r="CK162" s="24"/>
      <c r="CL162" s="24"/>
      <c r="CM162" s="24"/>
      <c r="CN162" s="24"/>
      <c r="CO162" s="24"/>
      <c r="CP162" s="24"/>
      <c r="CQ162" s="24"/>
      <c r="CR162" s="24"/>
      <c r="CS162" s="24"/>
      <c r="CT162" s="24"/>
    </row>
    <row r="163" spans="19:98" ht="10.199999999999999" hidden="1">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c r="BY163" s="24"/>
      <c r="BZ163" s="24"/>
      <c r="CA163" s="24"/>
      <c r="CB163" s="24"/>
      <c r="CC163" s="24"/>
      <c r="CD163" s="24"/>
      <c r="CE163" s="24"/>
      <c r="CF163" s="24"/>
      <c r="CG163" s="24"/>
      <c r="CH163" s="24"/>
      <c r="CI163" s="24"/>
      <c r="CJ163" s="24"/>
      <c r="CK163" s="24"/>
      <c r="CL163" s="24"/>
      <c r="CM163" s="24"/>
      <c r="CN163" s="24"/>
      <c r="CO163" s="24"/>
      <c r="CP163" s="24"/>
      <c r="CQ163" s="24"/>
      <c r="CR163" s="24"/>
      <c r="CS163" s="24"/>
      <c r="CT163" s="24"/>
    </row>
    <row r="164" spans="19:98" ht="10.199999999999999" hidden="1">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c r="BU164" s="24"/>
      <c r="BV164" s="24"/>
      <c r="BW164" s="24"/>
      <c r="BX164" s="24"/>
      <c r="BY164" s="24"/>
      <c r="BZ164" s="24"/>
      <c r="CA164" s="24"/>
      <c r="CB164" s="24"/>
      <c r="CC164" s="24"/>
      <c r="CD164" s="24"/>
      <c r="CE164" s="24"/>
      <c r="CF164" s="24"/>
      <c r="CG164" s="24"/>
      <c r="CH164" s="24"/>
      <c r="CI164" s="24"/>
      <c r="CJ164" s="24"/>
      <c r="CK164" s="24"/>
      <c r="CL164" s="24"/>
      <c r="CM164" s="24"/>
      <c r="CN164" s="24"/>
      <c r="CO164" s="24"/>
      <c r="CP164" s="24"/>
      <c r="CQ164" s="24"/>
      <c r="CR164" s="24"/>
      <c r="CS164" s="24"/>
      <c r="CT164" s="24"/>
    </row>
    <row r="165" spans="19:98" hidden="1"/>
    <row r="166" spans="19:98" hidden="1"/>
    <row r="167" spans="19:98" hidden="1"/>
    <row r="168" spans="19:98" hidden="1"/>
    <row r="169" spans="19:98" hidden="1"/>
    <row r="170" spans="19:98" hidden="1"/>
    <row r="171" spans="19:98" hidden="1"/>
    <row r="172" spans="19:98" hidden="1"/>
    <row r="173" spans="19:98" hidden="1"/>
    <row r="174" spans="19:98" hidden="1"/>
    <row r="175" spans="19:98" hidden="1"/>
    <row r="176" spans="19:98"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sheetData>
  <conditionalFormatting sqref="S4 T1:U1">
    <cfRule type="cellIs" dxfId="30" priority="1" operator="equal">
      <formula>"Check"</formula>
    </cfRule>
  </conditionalFormatting>
  <pageMargins left="0.74803149606299213" right="0.74803149606299213" top="0.98425196850393704" bottom="0.98425196850393704" header="0.51181102362204722" footer="0.51181102362204722"/>
  <pageSetup orientation="portrait" horizontalDpi="0" verticalDpi="0" r:id="rId1"/>
  <headerFooter alignWithMargins="0">
    <oddFooter>&amp;LIB-Competition Preliminary Case&amp;RPage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C53F-0D47-4464-82CC-F0FD80C9B590}">
  <sheetPr codeName="Sheet11">
    <tabColor rgb="FF86654A"/>
  </sheetPr>
  <dimension ref="A1:CU91"/>
  <sheetViews>
    <sheetView showGridLines="0" zoomScaleNormal="100" zoomScaleSheetLayoutView="100" workbookViewId="0">
      <selection activeCell="H35" sqref="H35"/>
    </sheetView>
  </sheetViews>
  <sheetFormatPr defaultColWidth="0" defaultRowHeight="13.2" zeroHeight="1"/>
  <cols>
    <col min="1" max="1" width="2.6640625" style="181" customWidth="1"/>
    <col min="2" max="2" width="34" style="28" customWidth="1"/>
    <col min="3" max="3" width="12.44140625" style="28" customWidth="1"/>
    <col min="4" max="5" width="1.44140625" style="28" customWidth="1"/>
    <col min="6" max="14" width="6.77734375" style="28" customWidth="1"/>
    <col min="15" max="18" width="6.77734375" style="2" customWidth="1"/>
    <col min="19" max="19" width="3.109375" style="28" customWidth="1"/>
    <col min="20" max="20" width="4.44140625" style="28" customWidth="1"/>
    <col min="21" max="21" width="3.44140625" style="28" customWidth="1"/>
    <col min="22" max="22" width="2.44140625" style="28" customWidth="1"/>
    <col min="23" max="23" width="0" style="28" hidden="1" customWidth="1"/>
    <col min="24" max="16384" width="9.44140625" style="28" hidden="1"/>
  </cols>
  <sheetData>
    <row r="1" spans="1:99" s="45" customFormat="1">
      <c r="A1" s="49" t="str">
        <f>'DCF - Assumptions'!$E$8&amp;" | Discounted Cash Flows - Valuation"</f>
        <v>Tapestry | Discounted Cash Flows - Valuation</v>
      </c>
      <c r="B1" s="48"/>
      <c r="C1" s="47"/>
      <c r="D1" s="47"/>
      <c r="E1" s="47"/>
      <c r="F1" s="47"/>
      <c r="G1" s="47"/>
      <c r="H1" s="47"/>
      <c r="I1" s="47"/>
      <c r="J1" s="47"/>
      <c r="K1" s="47"/>
      <c r="L1" s="47"/>
      <c r="M1" s="47"/>
      <c r="N1" s="47"/>
      <c r="O1" s="47"/>
      <c r="P1" s="47"/>
      <c r="Q1" s="47"/>
      <c r="R1" s="47"/>
      <c r="T1" s="46" t="str">
        <f>IF(T5=U5,"OK","Check")</f>
        <v>OK</v>
      </c>
      <c r="U1" s="46" t="str">
        <f>IF(T6=U6,"OK","Check")</f>
        <v>OK</v>
      </c>
    </row>
    <row r="2" spans="1:99" s="43" customFormat="1" ht="1.95" customHeight="1">
      <c r="A2" s="44"/>
      <c r="S2" s="42"/>
      <c r="T2" s="41"/>
      <c r="U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row>
    <row r="3" spans="1:99" s="176" customFormat="1" ht="3" customHeight="1">
      <c r="A3" s="40"/>
      <c r="B3" s="39"/>
      <c r="C3" s="39"/>
      <c r="D3" s="39"/>
      <c r="E3" s="39"/>
      <c r="F3" s="39"/>
      <c r="G3" s="39"/>
      <c r="H3" s="39"/>
      <c r="I3" s="39"/>
      <c r="J3" s="39"/>
      <c r="K3" s="39"/>
      <c r="L3" s="39"/>
      <c r="M3" s="39"/>
      <c r="N3" s="39"/>
      <c r="O3" s="39"/>
      <c r="P3" s="39"/>
      <c r="Q3" s="39"/>
      <c r="R3" s="39"/>
      <c r="S3" s="38"/>
      <c r="T3" s="37"/>
      <c r="U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row>
    <row r="4" spans="1:99" s="4" customFormat="1" ht="15.6" collapsed="1">
      <c r="A4" s="434"/>
      <c r="O4" s="2"/>
      <c r="P4" s="2"/>
      <c r="Q4" s="2"/>
      <c r="R4" s="2"/>
      <c r="S4" s="278"/>
    </row>
    <row r="5" spans="1:99">
      <c r="A5" s="386"/>
      <c r="B5" s="738" t="s">
        <v>285</v>
      </c>
      <c r="C5" s="738"/>
      <c r="D5" s="738"/>
      <c r="E5" s="738"/>
      <c r="F5" s="738"/>
      <c r="G5" s="738"/>
      <c r="H5" s="738"/>
      <c r="I5" s="738"/>
      <c r="J5" s="739"/>
      <c r="K5" s="739"/>
      <c r="L5" s="739"/>
      <c r="M5" s="740"/>
      <c r="N5" s="740"/>
      <c r="O5" s="740"/>
      <c r="P5" s="740"/>
      <c r="Q5" s="740"/>
      <c r="R5" s="740"/>
      <c r="S5" s="29"/>
      <c r="T5" s="61">
        <f>ROWS(B5:B43)</f>
        <v>39</v>
      </c>
      <c r="U5" s="35">
        <v>39</v>
      </c>
    </row>
    <row r="6" spans="1:99" ht="13.05" customHeight="1">
      <c r="A6" s="386"/>
      <c r="B6" s="433"/>
      <c r="C6" s="433"/>
      <c r="D6" s="9"/>
      <c r="E6" s="9"/>
      <c r="F6" s="9"/>
      <c r="G6"/>
      <c r="H6"/>
      <c r="I6"/>
      <c r="J6"/>
      <c r="K6"/>
      <c r="L6"/>
      <c r="M6"/>
      <c r="N6"/>
      <c r="O6"/>
      <c r="P6"/>
      <c r="Q6"/>
      <c r="R6"/>
      <c r="S6" s="4"/>
      <c r="T6" s="61">
        <f>SUM(T7:T43)</f>
        <v>32</v>
      </c>
      <c r="U6" s="35">
        <v>32</v>
      </c>
    </row>
    <row r="7" spans="1:99" ht="13.05" customHeight="1">
      <c r="A7" s="62"/>
      <c r="B7" s="741" t="s">
        <v>601</v>
      </c>
      <c r="C7" s="741"/>
      <c r="D7" s="9"/>
      <c r="E7" s="403"/>
      <c r="F7" s="741" t="s">
        <v>284</v>
      </c>
      <c r="G7" s="741"/>
      <c r="H7" s="741"/>
      <c r="I7" s="741"/>
      <c r="J7" s="742"/>
      <c r="K7"/>
      <c r="L7" s="741" t="s">
        <v>624</v>
      </c>
      <c r="M7" s="743"/>
      <c r="N7" s="743"/>
      <c r="O7" s="743"/>
      <c r="P7" s="743"/>
      <c r="Q7" s="743"/>
      <c r="R7" s="744"/>
      <c r="T7" s="61">
        <f t="shared" ref="T7:T43" si="0">IF(NOT(ISBLANK(B8)), 1, 0)</f>
        <v>1</v>
      </c>
      <c r="U7" s="5">
        <v>1</v>
      </c>
    </row>
    <row r="8" spans="1:99" ht="13.05" customHeight="1">
      <c r="A8" s="62"/>
      <c r="B8" s="9" t="s">
        <v>339</v>
      </c>
      <c r="C8" s="432"/>
      <c r="D8" s="9"/>
      <c r="E8" s="403"/>
      <c r="F8" s="430" t="s">
        <v>283</v>
      </c>
      <c r="G8" s="430"/>
      <c r="H8" s="430"/>
      <c r="I8" s="430"/>
      <c r="J8" s="427"/>
      <c r="K8"/>
      <c r="L8" s="14" t="s">
        <v>282</v>
      </c>
      <c r="M8" s="4"/>
      <c r="N8" s="4"/>
      <c r="O8" s="4"/>
      <c r="P8" s="340" t="s">
        <v>281</v>
      </c>
      <c r="Q8" s="800">
        <v>1</v>
      </c>
      <c r="R8" s="425"/>
      <c r="T8" s="61">
        <f t="shared" si="0"/>
        <v>1</v>
      </c>
      <c r="U8" s="5">
        <v>1</v>
      </c>
    </row>
    <row r="9" spans="1:99" ht="13.05" customHeight="1">
      <c r="A9" s="386"/>
      <c r="B9" s="407" t="s">
        <v>17</v>
      </c>
      <c r="C9" s="412"/>
      <c r="D9" s="9"/>
      <c r="E9" s="403"/>
      <c r="F9" s="430" t="s">
        <v>280</v>
      </c>
      <c r="G9" s="430"/>
      <c r="H9" s="430"/>
      <c r="I9" s="430"/>
      <c r="J9" s="427"/>
      <c r="K9"/>
      <c r="L9" s="14" t="s">
        <v>279</v>
      </c>
      <c r="M9" s="4"/>
      <c r="N9" s="4"/>
      <c r="O9" s="4"/>
      <c r="P9" s="4"/>
      <c r="Q9" s="4"/>
      <c r="R9" s="429"/>
      <c r="T9" s="61">
        <f t="shared" si="0"/>
        <v>1</v>
      </c>
      <c r="U9" s="5">
        <v>1</v>
      </c>
    </row>
    <row r="10" spans="1:99" ht="13.05" customHeight="1">
      <c r="A10" s="62"/>
      <c r="B10" s="9" t="s">
        <v>15</v>
      </c>
      <c r="C10" s="431"/>
      <c r="D10" s="9"/>
      <c r="E10" s="403"/>
      <c r="F10" s="14" t="s">
        <v>14</v>
      </c>
      <c r="G10" s="14"/>
      <c r="H10" s="14"/>
      <c r="I10" s="14"/>
      <c r="J10" s="427"/>
      <c r="K10"/>
      <c r="L10" s="14" t="s">
        <v>278</v>
      </c>
      <c r="Q10" s="426">
        <f>1-Q8</f>
        <v>0</v>
      </c>
      <c r="R10" s="425"/>
      <c r="T10" s="61">
        <f t="shared" si="0"/>
        <v>1</v>
      </c>
      <c r="U10" s="5">
        <v>1</v>
      </c>
    </row>
    <row r="11" spans="1:99" ht="13.05" customHeight="1">
      <c r="A11" s="386"/>
      <c r="B11" s="10" t="s">
        <v>13</v>
      </c>
      <c r="C11" s="428"/>
      <c r="D11" s="9"/>
      <c r="E11" s="403"/>
      <c r="F11" s="414" t="s">
        <v>273</v>
      </c>
      <c r="G11" s="414"/>
      <c r="H11" s="414"/>
      <c r="I11" s="414"/>
      <c r="J11" s="423"/>
      <c r="K11"/>
      <c r="L11" s="14" t="s">
        <v>276</v>
      </c>
      <c r="R11" s="429"/>
      <c r="T11" s="61">
        <f t="shared" si="0"/>
        <v>1</v>
      </c>
      <c r="U11" s="5">
        <v>1</v>
      </c>
    </row>
    <row r="12" spans="1:99" ht="13.05" customHeight="1">
      <c r="A12" s="62"/>
      <c r="B12" s="416" t="s">
        <v>277</v>
      </c>
      <c r="C12" s="424"/>
      <c r="D12" s="9"/>
      <c r="E12" s="403"/>
      <c r="F12" s="12" t="s">
        <v>12</v>
      </c>
      <c r="G12" s="12"/>
      <c r="H12" s="12"/>
      <c r="I12" s="12"/>
      <c r="J12" s="91"/>
      <c r="K12"/>
      <c r="L12" s="421" t="s">
        <v>275</v>
      </c>
      <c r="M12" s="4"/>
      <c r="N12" s="4"/>
      <c r="O12" s="4"/>
      <c r="P12" s="4"/>
      <c r="Q12" s="4"/>
      <c r="R12" s="420">
        <f>(R9*R8)*Q8+(R10*R11)*Q10</f>
        <v>0</v>
      </c>
      <c r="T12" s="61">
        <f t="shared" si="0"/>
        <v>1</v>
      </c>
      <c r="U12" s="5">
        <v>1</v>
      </c>
    </row>
    <row r="13" spans="1:99" ht="13.05" customHeight="1">
      <c r="A13" s="62"/>
      <c r="B13" s="407" t="s">
        <v>9</v>
      </c>
      <c r="C13" s="422"/>
      <c r="D13" s="9"/>
      <c r="E13" s="403"/>
      <c r="F13" s="409" t="s">
        <v>272</v>
      </c>
      <c r="G13" s="409"/>
      <c r="H13" s="409"/>
      <c r="I13" s="409"/>
      <c r="J13" s="408"/>
      <c r="K13"/>
      <c r="L13" s="14" t="s">
        <v>14</v>
      </c>
      <c r="M13" s="4"/>
      <c r="N13" s="4"/>
      <c r="O13" s="4"/>
      <c r="P13" s="4"/>
      <c r="Q13" s="4"/>
      <c r="R13" s="417"/>
      <c r="T13" s="61">
        <f t="shared" si="0"/>
        <v>1</v>
      </c>
      <c r="U13" s="5">
        <v>1</v>
      </c>
    </row>
    <row r="14" spans="1:99" ht="13.05" customHeight="1">
      <c r="A14" s="386"/>
      <c r="B14" s="419" t="s">
        <v>7</v>
      </c>
      <c r="C14" s="418"/>
      <c r="D14" s="9"/>
      <c r="E14" s="403"/>
      <c r="F14" s="405" t="s">
        <v>10</v>
      </c>
      <c r="G14" s="405"/>
      <c r="H14" s="405"/>
      <c r="I14" s="405"/>
      <c r="J14" s="389"/>
      <c r="K14"/>
      <c r="L14" s="414" t="s">
        <v>626</v>
      </c>
      <c r="M14" s="4"/>
      <c r="N14" s="4"/>
      <c r="O14" s="4"/>
      <c r="P14" s="4"/>
      <c r="Q14" s="4"/>
      <c r="R14" s="413"/>
      <c r="T14" s="61">
        <f t="shared" si="0"/>
        <v>1</v>
      </c>
      <c r="U14" s="5">
        <v>1</v>
      </c>
    </row>
    <row r="15" spans="1:99" s="320" customFormat="1" ht="13.05" customHeight="1">
      <c r="A15" s="62"/>
      <c r="B15" s="416" t="s">
        <v>274</v>
      </c>
      <c r="C15" s="415"/>
      <c r="D15" s="9"/>
      <c r="E15" s="403"/>
      <c r="F15" s="11" t="s">
        <v>270</v>
      </c>
      <c r="G15" s="11"/>
      <c r="H15" s="11"/>
      <c r="I15" s="11"/>
      <c r="J15" s="411"/>
      <c r="K15"/>
      <c r="L15" s="12" t="s">
        <v>12</v>
      </c>
      <c r="M15" s="4"/>
      <c r="N15" s="4"/>
      <c r="O15" s="4"/>
      <c r="P15" s="4"/>
      <c r="Q15" s="4"/>
      <c r="R15" s="91"/>
      <c r="T15" s="61">
        <f t="shared" si="0"/>
        <v>1</v>
      </c>
      <c r="U15" s="5">
        <v>1</v>
      </c>
    </row>
    <row r="16" spans="1:99" s="320" customFormat="1" ht="13.05" customHeight="1">
      <c r="A16" s="386"/>
      <c r="B16" s="407" t="s">
        <v>3</v>
      </c>
      <c r="C16" s="412"/>
      <c r="D16" s="9"/>
      <c r="E16" s="4"/>
      <c r="F16" s="401" t="s">
        <v>268</v>
      </c>
      <c r="G16" s="401"/>
      <c r="H16" s="401"/>
      <c r="I16" s="401"/>
      <c r="J16" s="400"/>
      <c r="K16"/>
      <c r="L16" s="409" t="s">
        <v>625</v>
      </c>
      <c r="M16" s="96"/>
      <c r="N16" s="96"/>
      <c r="O16" s="96"/>
      <c r="P16" s="96"/>
      <c r="Q16" s="96"/>
      <c r="R16" s="408"/>
      <c r="T16" s="61">
        <f t="shared" si="0"/>
        <v>1</v>
      </c>
      <c r="U16" s="5">
        <v>1</v>
      </c>
    </row>
    <row r="17" spans="1:21" ht="13.05" customHeight="1">
      <c r="A17" s="62"/>
      <c r="B17" s="410" t="s">
        <v>1</v>
      </c>
      <c r="C17" s="415"/>
      <c r="D17" s="9"/>
      <c r="E17" s="403"/>
      <c r="F17" s="399" t="s">
        <v>266</v>
      </c>
      <c r="G17" s="399"/>
      <c r="H17" s="399"/>
      <c r="I17" s="399"/>
      <c r="J17" s="398"/>
      <c r="K17"/>
      <c r="L17" s="405" t="s">
        <v>10</v>
      </c>
      <c r="M17" s="4"/>
      <c r="N17" s="4"/>
      <c r="O17" s="4"/>
      <c r="P17" s="4"/>
      <c r="Q17" s="4"/>
      <c r="R17" s="404"/>
      <c r="T17" s="61">
        <f t="shared" si="0"/>
        <v>1</v>
      </c>
      <c r="U17" s="5">
        <v>1</v>
      </c>
    </row>
    <row r="18" spans="1:21" ht="13.05" customHeight="1">
      <c r="A18" s="62"/>
      <c r="B18" s="407" t="s">
        <v>271</v>
      </c>
      <c r="C18" s="406"/>
      <c r="D18" s="9"/>
      <c r="E18" s="403"/>
      <c r="F18" s="397" t="s">
        <v>4</v>
      </c>
      <c r="G18" s="397"/>
      <c r="H18" s="397"/>
      <c r="I18" s="397"/>
      <c r="J18" s="396"/>
      <c r="K18"/>
      <c r="L18" s="11" t="s">
        <v>270</v>
      </c>
      <c r="M18" s="4"/>
      <c r="N18" s="4"/>
      <c r="O18" s="4"/>
      <c r="P18" s="4"/>
      <c r="Q18" s="4"/>
      <c r="R18" s="402"/>
      <c r="T18" s="61">
        <f t="shared" si="0"/>
        <v>0</v>
      </c>
      <c r="U18" s="5">
        <v>0</v>
      </c>
    </row>
    <row r="19" spans="1:21" ht="13.05" customHeight="1">
      <c r="A19" s="386"/>
      <c r="B19" s="9"/>
      <c r="C19" s="7"/>
      <c r="D19" s="9"/>
      <c r="E19" s="9"/>
      <c r="F19" s="4" t="s">
        <v>623</v>
      </c>
      <c r="G19" s="4"/>
      <c r="H19" s="4"/>
      <c r="I19" s="4"/>
      <c r="J19" s="396"/>
      <c r="K19"/>
      <c r="L19" s="401" t="s">
        <v>268</v>
      </c>
      <c r="M19" s="96"/>
      <c r="N19" s="96"/>
      <c r="O19" s="96"/>
      <c r="P19" s="96"/>
      <c r="Q19" s="96"/>
      <c r="R19" s="400"/>
      <c r="T19" s="61">
        <f t="shared" si="0"/>
        <v>1</v>
      </c>
      <c r="U19" s="5">
        <v>1</v>
      </c>
    </row>
    <row r="20" spans="1:21" ht="13.05" customHeight="1">
      <c r="A20" s="386"/>
      <c r="B20" s="4" t="s">
        <v>269</v>
      </c>
      <c r="C20" s="16">
        <f>'DCF - Assumptions'!E9</f>
        <v>43496</v>
      </c>
      <c r="D20" s="9"/>
      <c r="E20" s="9"/>
      <c r="F20" s="34" t="s">
        <v>0</v>
      </c>
      <c r="G20" s="34"/>
      <c r="H20" s="34"/>
      <c r="I20" s="34"/>
      <c r="J20" s="395"/>
      <c r="K20"/>
      <c r="L20" s="399" t="s">
        <v>266</v>
      </c>
      <c r="M20" s="4"/>
      <c r="N20" s="4"/>
      <c r="O20" s="4"/>
      <c r="P20" s="4"/>
      <c r="Q20" s="4"/>
      <c r="R20" s="398"/>
      <c r="T20" s="61">
        <f t="shared" si="0"/>
        <v>1</v>
      </c>
      <c r="U20" s="5">
        <v>1</v>
      </c>
    </row>
    <row r="21" spans="1:21" ht="13.05" customHeight="1">
      <c r="A21" s="386"/>
      <c r="B21" s="4" t="s">
        <v>267</v>
      </c>
      <c r="C21" s="16">
        <f>'DCF - Assumptions'!E18</f>
        <v>43646</v>
      </c>
      <c r="D21" s="9"/>
      <c r="E21" s="9"/>
      <c r="F21" s="9"/>
      <c r="G21"/>
      <c r="H21"/>
      <c r="I21"/>
      <c r="J21"/>
      <c r="K21"/>
      <c r="L21" s="397" t="s">
        <v>4</v>
      </c>
      <c r="M21" s="4"/>
      <c r="N21" s="4"/>
      <c r="O21" s="4"/>
      <c r="P21" s="4"/>
      <c r="Q21" s="4"/>
      <c r="R21" s="396"/>
      <c r="T21" s="61">
        <f t="shared" si="0"/>
        <v>0</v>
      </c>
      <c r="U21" s="5">
        <v>0</v>
      </c>
    </row>
    <row r="22" spans="1:21" ht="13.05" customHeight="1">
      <c r="A22" s="386"/>
      <c r="B22" s="4"/>
      <c r="C22" s="16"/>
      <c r="D22" s="9"/>
      <c r="E22" s="9"/>
      <c r="F22" s="9"/>
      <c r="G22"/>
      <c r="H22"/>
      <c r="I22"/>
      <c r="J22"/>
      <c r="K22"/>
      <c r="L22" s="4" t="s">
        <v>2</v>
      </c>
      <c r="M22" s="4"/>
      <c r="N22" s="4"/>
      <c r="O22" s="4"/>
      <c r="P22" s="4"/>
      <c r="Q22" s="4"/>
      <c r="R22" s="27"/>
      <c r="T22" s="61">
        <f t="shared" si="0"/>
        <v>0</v>
      </c>
      <c r="U22" s="5">
        <v>0</v>
      </c>
    </row>
    <row r="23" spans="1:21">
      <c r="A23" s="386"/>
      <c r="L23" s="34" t="s">
        <v>0</v>
      </c>
      <c r="M23" s="4"/>
      <c r="N23" s="4"/>
      <c r="O23" s="4"/>
      <c r="P23" s="4"/>
      <c r="Q23" s="4"/>
      <c r="R23" s="395"/>
      <c r="T23" s="61">
        <f t="shared" si="0"/>
        <v>0</v>
      </c>
      <c r="U23" s="5">
        <v>0</v>
      </c>
    </row>
    <row r="24" spans="1:21" ht="13.05" customHeight="1">
      <c r="A24" s="386"/>
      <c r="T24" s="61">
        <f t="shared" si="0"/>
        <v>1</v>
      </c>
      <c r="U24" s="5">
        <v>1</v>
      </c>
    </row>
    <row r="25" spans="1:21" ht="13.05" customHeight="1">
      <c r="A25" s="386"/>
      <c r="B25" s="738" t="s">
        <v>265</v>
      </c>
      <c r="C25" s="738"/>
      <c r="D25" s="738"/>
      <c r="E25" s="738"/>
      <c r="F25" s="738"/>
      <c r="G25" s="738"/>
      <c r="H25" s="738"/>
      <c r="I25" s="738"/>
      <c r="J25" s="739"/>
      <c r="K25" s="739"/>
      <c r="L25" s="739"/>
      <c r="M25" s="739"/>
      <c r="N25" s="739"/>
      <c r="O25" s="739"/>
      <c r="P25" s="739"/>
      <c r="Q25" s="739"/>
      <c r="R25" s="739"/>
      <c r="T25" s="61">
        <f t="shared" si="0"/>
        <v>1</v>
      </c>
      <c r="U25" s="5">
        <v>1</v>
      </c>
    </row>
    <row r="26" spans="1:21" ht="13.05" customHeight="1">
      <c r="A26" s="386"/>
      <c r="B26" s="4" t="s">
        <v>121</v>
      </c>
      <c r="C26" s="394"/>
      <c r="D26" s="393"/>
      <c r="E26" s="393"/>
      <c r="F26" s="393"/>
      <c r="G26" s="393"/>
      <c r="H26" s="392"/>
      <c r="I26" s="393"/>
      <c r="J26" s="392"/>
      <c r="K26" s="95" t="s">
        <v>264</v>
      </c>
      <c r="L26" s="95"/>
      <c r="M26" s="95"/>
      <c r="N26" s="95"/>
      <c r="O26" s="95"/>
      <c r="P26" s="95"/>
      <c r="Q26" s="95"/>
      <c r="R26" s="95"/>
      <c r="T26" s="61">
        <f t="shared" si="0"/>
        <v>1</v>
      </c>
      <c r="U26" s="5">
        <v>1</v>
      </c>
    </row>
    <row r="27" spans="1:21" ht="13.05" customHeight="1" thickBot="1">
      <c r="A27" s="386"/>
      <c r="B27" s="274" t="s">
        <v>263</v>
      </c>
      <c r="C27" s="94"/>
      <c r="D27" s="94"/>
      <c r="E27" s="94"/>
      <c r="F27" s="391">
        <f>'DCF - Financials'!F8</f>
        <v>2014</v>
      </c>
      <c r="G27" s="391">
        <f>'DCF - Financials'!G8</f>
        <v>2015</v>
      </c>
      <c r="H27" s="391">
        <f>'DCF - Financials'!H8</f>
        <v>2016</v>
      </c>
      <c r="I27" s="391">
        <f>'DCF - Financials'!I8</f>
        <v>2017</v>
      </c>
      <c r="J27" s="391">
        <f>'DCF - Financials'!J8</f>
        <v>2018</v>
      </c>
      <c r="K27" s="274">
        <f>'DCF - Financials'!K8</f>
        <v>2019</v>
      </c>
      <c r="L27" s="274">
        <f>'DCF - Financials'!L8</f>
        <v>2020</v>
      </c>
      <c r="M27" s="274">
        <f>'DCF - Financials'!M8</f>
        <v>2021</v>
      </c>
      <c r="N27" s="274">
        <f>'DCF - Financials'!N8</f>
        <v>2022</v>
      </c>
      <c r="O27" s="274">
        <f>'DCF - Financials'!O8</f>
        <v>2023</v>
      </c>
      <c r="P27" s="274">
        <f>'DCF - Financials'!P8</f>
        <v>2024</v>
      </c>
      <c r="Q27" s="274">
        <f>'DCF - Financials'!Q8</f>
        <v>2025</v>
      </c>
      <c r="R27" s="274">
        <f>'DCF - Financials'!R8</f>
        <v>2026</v>
      </c>
      <c r="T27" s="61">
        <f t="shared" si="0"/>
        <v>1</v>
      </c>
      <c r="U27" s="5">
        <v>1</v>
      </c>
    </row>
    <row r="28" spans="1:21" ht="13.05" customHeight="1">
      <c r="A28" s="386"/>
      <c r="B28" s="34" t="str">
        <f>'DCF - Financials'!B12</f>
        <v>Total Revenues</v>
      </c>
      <c r="C28" s="4"/>
      <c r="D28" s="4"/>
      <c r="E28" s="4"/>
      <c r="F28" s="389"/>
      <c r="G28" s="389"/>
      <c r="H28" s="389"/>
      <c r="I28" s="389"/>
      <c r="J28" s="389"/>
      <c r="K28" s="389"/>
      <c r="L28" s="389"/>
      <c r="M28" s="389"/>
      <c r="N28" s="389"/>
      <c r="O28" s="389"/>
      <c r="P28" s="389"/>
      <c r="Q28" s="389"/>
      <c r="R28" s="389"/>
      <c r="T28" s="61">
        <f t="shared" si="0"/>
        <v>1</v>
      </c>
      <c r="U28" s="5">
        <v>1</v>
      </c>
    </row>
    <row r="29" spans="1:21" ht="13.05" customHeight="1">
      <c r="A29" s="386"/>
      <c r="B29" s="4" t="str">
        <f>'DCF - Financials'!B17</f>
        <v>Total COGS</v>
      </c>
      <c r="C29" s="4"/>
      <c r="D29" s="4"/>
      <c r="E29" s="4"/>
      <c r="F29" s="91"/>
      <c r="G29" s="91"/>
      <c r="H29" s="91"/>
      <c r="I29" s="91"/>
      <c r="J29" s="91"/>
      <c r="K29" s="91"/>
      <c r="L29" s="91"/>
      <c r="M29" s="91"/>
      <c r="N29" s="91"/>
      <c r="O29" s="91"/>
      <c r="P29" s="91"/>
      <c r="Q29" s="91"/>
      <c r="R29" s="91"/>
      <c r="T29" s="61">
        <f t="shared" si="0"/>
        <v>1</v>
      </c>
      <c r="U29" s="5">
        <v>1</v>
      </c>
    </row>
    <row r="30" spans="1:21" ht="13.05" customHeight="1">
      <c r="A30" s="386"/>
      <c r="B30" s="4" t="str">
        <f>'DCF - Financials'!B23</f>
        <v>Total SG&amp;A</v>
      </c>
      <c r="C30" s="4"/>
      <c r="D30" s="4"/>
      <c r="E30" s="4"/>
      <c r="F30" s="91"/>
      <c r="G30" s="91"/>
      <c r="H30" s="91"/>
      <c r="I30" s="91"/>
      <c r="J30" s="91"/>
      <c r="K30" s="91"/>
      <c r="L30" s="91"/>
      <c r="M30" s="91"/>
      <c r="N30" s="91"/>
      <c r="O30" s="91"/>
      <c r="P30" s="91"/>
      <c r="Q30" s="91"/>
      <c r="R30" s="91"/>
      <c r="T30" s="61">
        <f t="shared" si="0"/>
        <v>1</v>
      </c>
      <c r="U30" s="5">
        <v>1</v>
      </c>
    </row>
    <row r="31" spans="1:21" ht="13.05" customHeight="1">
      <c r="A31" s="386"/>
      <c r="B31" s="171" t="str">
        <f>'DCF - Financials'!B29</f>
        <v>Total EBIT</v>
      </c>
      <c r="C31" s="43"/>
      <c r="D31" s="43"/>
      <c r="E31" s="43"/>
      <c r="F31" s="445"/>
      <c r="G31" s="445"/>
      <c r="H31" s="445"/>
      <c r="I31" s="445"/>
      <c r="J31" s="445"/>
      <c r="K31" s="445"/>
      <c r="L31" s="445"/>
      <c r="M31" s="445"/>
      <c r="N31" s="445"/>
      <c r="O31" s="445"/>
      <c r="P31" s="445"/>
      <c r="Q31" s="445"/>
      <c r="R31" s="445"/>
      <c r="T31" s="61">
        <f t="shared" si="0"/>
        <v>1</v>
      </c>
      <c r="U31" s="5">
        <v>1</v>
      </c>
    </row>
    <row r="32" spans="1:21" ht="13.05" customHeight="1">
      <c r="A32" s="386"/>
      <c r="B32" s="62" t="s">
        <v>367</v>
      </c>
      <c r="C32" s="18"/>
      <c r="D32" s="18"/>
      <c r="E32" s="18"/>
      <c r="F32" s="91"/>
      <c r="G32" s="91"/>
      <c r="H32" s="91"/>
      <c r="I32" s="91"/>
      <c r="J32" s="91"/>
      <c r="K32" s="91"/>
      <c r="L32" s="91"/>
      <c r="M32" s="91"/>
      <c r="N32" s="91"/>
      <c r="O32" s="91"/>
      <c r="P32" s="91"/>
      <c r="Q32" s="91"/>
      <c r="R32" s="91"/>
      <c r="T32" s="61">
        <f t="shared" si="0"/>
        <v>1</v>
      </c>
      <c r="U32" s="5">
        <v>1</v>
      </c>
    </row>
    <row r="33" spans="1:21" s="57" customFormat="1" ht="13.05" customHeight="1">
      <c r="A33" s="390"/>
      <c r="B33" s="62" t="s">
        <v>208</v>
      </c>
      <c r="C33" s="18"/>
      <c r="D33" s="18"/>
      <c r="E33" s="18"/>
      <c r="F33" s="91"/>
      <c r="G33" s="91"/>
      <c r="H33" s="91"/>
      <c r="I33" s="91"/>
      <c r="J33" s="91"/>
      <c r="K33" s="91"/>
      <c r="L33" s="91"/>
      <c r="M33" s="91"/>
      <c r="N33" s="91"/>
      <c r="O33" s="91"/>
      <c r="P33" s="91"/>
      <c r="Q33" s="91"/>
      <c r="R33" s="91"/>
      <c r="T33" s="61">
        <f t="shared" si="0"/>
        <v>1</v>
      </c>
      <c r="U33" s="5">
        <v>1</v>
      </c>
    </row>
    <row r="34" spans="1:21" s="57" customFormat="1" ht="13.05" customHeight="1">
      <c r="A34" s="390"/>
      <c r="B34" s="62" t="s">
        <v>627</v>
      </c>
      <c r="C34" s="18"/>
      <c r="D34" s="18"/>
      <c r="E34" s="18"/>
      <c r="F34" s="91"/>
      <c r="G34" s="91"/>
      <c r="H34" s="91"/>
      <c r="I34" s="91"/>
      <c r="J34" s="91"/>
      <c r="K34" s="91"/>
      <c r="L34" s="91"/>
      <c r="M34" s="91"/>
      <c r="N34" s="91"/>
      <c r="O34" s="91"/>
      <c r="P34" s="91"/>
      <c r="Q34" s="91"/>
      <c r="R34" s="91"/>
      <c r="T34" s="61">
        <f t="shared" si="0"/>
        <v>1</v>
      </c>
      <c r="U34" s="5">
        <v>1</v>
      </c>
    </row>
    <row r="35" spans="1:21" ht="13.05" customHeight="1">
      <c r="A35" s="30"/>
      <c r="B35" s="62" t="s">
        <v>628</v>
      </c>
      <c r="C35" s="18"/>
      <c r="D35" s="18"/>
      <c r="E35" s="18"/>
      <c r="F35" s="104"/>
      <c r="G35" s="104"/>
      <c r="H35" s="104"/>
      <c r="I35" s="104"/>
      <c r="J35" s="104"/>
      <c r="K35" s="104"/>
      <c r="L35" s="104"/>
      <c r="M35" s="104"/>
      <c r="N35" s="104"/>
      <c r="O35" s="104"/>
      <c r="P35" s="104"/>
      <c r="Q35" s="104"/>
      <c r="R35" s="104"/>
      <c r="T35" s="61">
        <f t="shared" si="0"/>
        <v>1</v>
      </c>
      <c r="U35" s="5">
        <v>1</v>
      </c>
    </row>
    <row r="36" spans="1:21" ht="13.05" customHeight="1">
      <c r="A36" s="30"/>
      <c r="B36" s="157" t="s">
        <v>262</v>
      </c>
      <c r="C36" s="456"/>
      <c r="D36" s="456"/>
      <c r="E36" s="456"/>
      <c r="F36" s="389"/>
      <c r="G36" s="389"/>
      <c r="H36" s="389"/>
      <c r="I36" s="389"/>
      <c r="J36" s="389"/>
      <c r="K36" s="389"/>
      <c r="L36" s="389"/>
      <c r="M36" s="389"/>
      <c r="N36" s="389"/>
      <c r="O36" s="389"/>
      <c r="P36" s="389"/>
      <c r="Q36" s="389"/>
      <c r="R36" s="389"/>
      <c r="T36" s="61">
        <f t="shared" si="0"/>
        <v>1</v>
      </c>
      <c r="U36" s="5">
        <v>1</v>
      </c>
    </row>
    <row r="37" spans="1:21" ht="13.05" customHeight="1">
      <c r="A37" s="30"/>
      <c r="B37" s="161" t="s">
        <v>261</v>
      </c>
      <c r="C37" s="18"/>
      <c r="D37" s="18"/>
      <c r="E37" s="18"/>
      <c r="F37" s="385"/>
      <c r="G37" s="385"/>
      <c r="H37" s="385"/>
      <c r="I37" s="385"/>
      <c r="J37" s="385"/>
      <c r="K37" s="384"/>
      <c r="L37" s="384"/>
      <c r="M37" s="384"/>
      <c r="N37" s="384"/>
      <c r="O37" s="384"/>
      <c r="P37" s="384"/>
      <c r="Q37" s="384"/>
      <c r="R37" s="384"/>
      <c r="T37" s="61">
        <f t="shared" si="0"/>
        <v>1</v>
      </c>
      <c r="U37" s="5">
        <v>1</v>
      </c>
    </row>
    <row r="38" spans="1:21" ht="13.05" customHeight="1">
      <c r="A38" s="386"/>
      <c r="B38" s="161" t="s">
        <v>260</v>
      </c>
      <c r="C38" s="18"/>
      <c r="D38" s="18"/>
      <c r="E38" s="18"/>
      <c r="F38" s="388"/>
      <c r="G38" s="388"/>
      <c r="H38" s="388"/>
      <c r="I38" s="388"/>
      <c r="J38" s="388"/>
      <c r="K38" s="387"/>
      <c r="L38" s="387"/>
      <c r="M38" s="387"/>
      <c r="N38" s="387"/>
      <c r="O38" s="387"/>
      <c r="P38" s="387"/>
      <c r="Q38" s="387"/>
      <c r="R38" s="387"/>
      <c r="T38" s="61">
        <f t="shared" si="0"/>
        <v>1</v>
      </c>
      <c r="U38" s="5">
        <v>1</v>
      </c>
    </row>
    <row r="39" spans="1:21" ht="13.05" customHeight="1">
      <c r="A39" s="386"/>
      <c r="B39" s="161" t="s">
        <v>259</v>
      </c>
      <c r="C39" s="18"/>
      <c r="D39" s="18"/>
      <c r="E39" s="18"/>
      <c r="F39" s="385"/>
      <c r="G39" s="385"/>
      <c r="H39" s="385"/>
      <c r="I39" s="385"/>
      <c r="J39" s="385"/>
      <c r="K39" s="384"/>
      <c r="L39" s="384"/>
      <c r="M39" s="384"/>
      <c r="N39" s="384"/>
      <c r="O39" s="384"/>
      <c r="P39" s="384"/>
      <c r="Q39" s="384"/>
      <c r="R39" s="384"/>
      <c r="T39" s="61">
        <f t="shared" si="0"/>
        <v>1</v>
      </c>
      <c r="U39" s="5">
        <v>1</v>
      </c>
    </row>
    <row r="40" spans="1:21">
      <c r="B40" s="171" t="s">
        <v>258</v>
      </c>
      <c r="C40" s="457"/>
      <c r="D40" s="457"/>
      <c r="E40" s="457"/>
      <c r="F40" s="458"/>
      <c r="G40" s="458"/>
      <c r="H40" s="458"/>
      <c r="I40" s="458"/>
      <c r="J40" s="458"/>
      <c r="K40" s="445"/>
      <c r="L40" s="445"/>
      <c r="M40" s="445"/>
      <c r="N40" s="445"/>
      <c r="O40" s="445"/>
      <c r="P40" s="445"/>
      <c r="Q40" s="445"/>
      <c r="R40" s="445"/>
      <c r="T40" s="61">
        <f t="shared" si="0"/>
        <v>1</v>
      </c>
      <c r="U40" s="5">
        <v>1</v>
      </c>
    </row>
    <row r="41" spans="1:21">
      <c r="B41" s="459" t="s">
        <v>368</v>
      </c>
      <c r="T41" s="61">
        <f t="shared" si="0"/>
        <v>1</v>
      </c>
      <c r="U41" s="5">
        <v>1</v>
      </c>
    </row>
    <row r="42" spans="1:21">
      <c r="B42" s="34" t="s">
        <v>59</v>
      </c>
      <c r="C42" s="18"/>
      <c r="D42" s="18"/>
      <c r="E42" s="18"/>
      <c r="F42" s="389"/>
      <c r="G42" s="389"/>
      <c r="H42" s="389"/>
      <c r="I42" s="389"/>
      <c r="J42" s="389"/>
      <c r="K42" s="389"/>
      <c r="L42" s="389"/>
      <c r="M42" s="389"/>
      <c r="N42" s="389"/>
      <c r="O42" s="389"/>
      <c r="P42" s="389"/>
      <c r="Q42" s="389"/>
      <c r="R42" s="389"/>
      <c r="T42" s="61">
        <f t="shared" si="0"/>
        <v>1</v>
      </c>
      <c r="U42" s="5">
        <v>1</v>
      </c>
    </row>
    <row r="43" spans="1:21">
      <c r="B43" s="34" t="s">
        <v>179</v>
      </c>
      <c r="F43" s="389"/>
      <c r="G43" s="389"/>
      <c r="H43" s="389"/>
      <c r="I43" s="389"/>
      <c r="J43" s="389"/>
      <c r="K43" s="389"/>
      <c r="L43" s="389"/>
      <c r="M43" s="389"/>
      <c r="N43" s="389"/>
      <c r="O43" s="389"/>
      <c r="P43" s="389"/>
      <c r="Q43" s="389"/>
      <c r="R43" s="389"/>
      <c r="T43" s="61">
        <f t="shared" si="0"/>
        <v>0</v>
      </c>
      <c r="U43" s="5">
        <v>0</v>
      </c>
    </row>
    <row r="44" spans="1:21"/>
    <row r="45" spans="1:21" hidden="1"/>
    <row r="46" spans="1:21" hidden="1"/>
    <row r="47" spans="1:21" hidden="1"/>
    <row r="48" spans="1:21"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sheetData>
  <conditionalFormatting sqref="C32:E40 C42:E42">
    <cfRule type="cellIs" dxfId="29" priority="6" stopIfTrue="1" operator="equal">
      <formula>$D$4</formula>
    </cfRule>
  </conditionalFormatting>
  <conditionalFormatting sqref="H26">
    <cfRule type="cellIs" dxfId="28" priority="5" stopIfTrue="1" operator="equal">
      <formula>#REF!</formula>
    </cfRule>
  </conditionalFormatting>
  <conditionalFormatting sqref="R13 L13">
    <cfRule type="cellIs" dxfId="27" priority="4" stopIfTrue="1" operator="equal">
      <formula>"ERROR"</formula>
    </cfRule>
  </conditionalFormatting>
  <conditionalFormatting sqref="K26">
    <cfRule type="cellIs" dxfId="26" priority="3" stopIfTrue="1" operator="equal">
      <formula>#REF!</formula>
    </cfRule>
  </conditionalFormatting>
  <conditionalFormatting sqref="S4">
    <cfRule type="cellIs" dxfId="25" priority="2" operator="equal">
      <formula>"Check"</formula>
    </cfRule>
  </conditionalFormatting>
  <conditionalFormatting sqref="T1:U1">
    <cfRule type="cellIs" dxfId="24" priority="1" operator="equal">
      <formula>"Check"</formula>
    </cfRule>
  </conditionalFormatting>
  <pageMargins left="0.74803149606299213" right="0.74803149606299213" top="0.98425196850393704" bottom="0.98425196850393704" header="0.51181102362204722" footer="0.51181102362204722"/>
  <pageSetup orientation="portrait" r:id="rId1"/>
  <headerFooter alignWithMargins="0">
    <oddFooter>&amp;LIB-Competition Preliminary Case&amp;RPage &amp;P</oddFooter>
  </headerFooter>
  <colBreaks count="1" manualBreakCount="1">
    <brk id="17" min="3" max="4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78A75-52F3-4B93-9449-71F459CA6F98}">
  <sheetPr codeName="Sheet4">
    <tabColor rgb="FF86654A"/>
  </sheetPr>
  <dimension ref="A1:S34"/>
  <sheetViews>
    <sheetView showGridLines="0" topLeftCell="A4" zoomScaleNormal="100" workbookViewId="0">
      <selection activeCell="B5" sqref="B5:E25"/>
    </sheetView>
  </sheetViews>
  <sheetFormatPr defaultColWidth="0" defaultRowHeight="10.199999999999999" zeroHeight="1"/>
  <cols>
    <col min="1" max="1" width="1.44140625" style="24" customWidth="1"/>
    <col min="2" max="2" width="21.44140625" style="189" customWidth="1"/>
    <col min="3" max="4" width="8" style="189" customWidth="1"/>
    <col min="5" max="5" width="81.44140625" style="189" customWidth="1"/>
    <col min="6" max="6" width="3.6640625" style="189" customWidth="1"/>
    <col min="7" max="16384" width="11.44140625" style="189" hidden="1"/>
  </cols>
  <sheetData>
    <row r="1" spans="1:19" s="176" customFormat="1" ht="13.2">
      <c r="A1" s="49" t="str">
        <f>'DCF - Assumptions'!$E$8&amp;" | Discounted Cash Flows - Assumptions Summary"</f>
        <v>Tapestry | Discounted Cash Flows - Assumptions Summary</v>
      </c>
      <c r="B1" s="49"/>
      <c r="C1" s="39"/>
      <c r="D1" s="39"/>
      <c r="E1" s="39"/>
      <c r="F1" s="39"/>
      <c r="G1" s="39"/>
      <c r="H1" s="39"/>
      <c r="I1" s="39"/>
      <c r="J1" s="39"/>
      <c r="K1" s="39"/>
      <c r="L1" s="39"/>
      <c r="M1" s="39"/>
      <c r="N1" s="39"/>
      <c r="O1" s="39"/>
      <c r="P1" s="39"/>
      <c r="R1" s="38"/>
      <c r="S1" s="38"/>
    </row>
    <row r="2" spans="1:19" s="43" customFormat="1" ht="1.95" customHeight="1">
      <c r="A2" s="442" t="s">
        <v>294</v>
      </c>
      <c r="R2" s="42"/>
      <c r="S2" s="42"/>
    </row>
    <row r="3" spans="1:19" s="176" customFormat="1" ht="3" customHeight="1">
      <c r="A3" s="441"/>
      <c r="B3" s="39"/>
      <c r="C3" s="39"/>
      <c r="D3" s="39"/>
      <c r="E3" s="39"/>
      <c r="F3" s="39"/>
      <c r="G3" s="39"/>
      <c r="H3" s="39"/>
      <c r="I3" s="39"/>
      <c r="J3" s="39"/>
      <c r="K3" s="39"/>
      <c r="L3" s="39"/>
      <c r="M3" s="39"/>
      <c r="N3" s="39"/>
      <c r="O3" s="39"/>
      <c r="P3" s="39"/>
      <c r="R3" s="38"/>
      <c r="S3" s="38"/>
    </row>
    <row r="4" spans="1:19" s="437" customFormat="1">
      <c r="A4" s="440"/>
      <c r="B4" s="436"/>
      <c r="C4" s="439"/>
      <c r="D4" s="439"/>
      <c r="E4" s="438"/>
    </row>
    <row r="5" spans="1:19" ht="15" customHeight="1">
      <c r="A5" s="53"/>
      <c r="B5" s="745" t="s">
        <v>293</v>
      </c>
      <c r="C5" s="746"/>
      <c r="D5" s="746"/>
      <c r="E5" s="747"/>
    </row>
    <row r="6" spans="1:19">
      <c r="B6" s="751" t="s">
        <v>594</v>
      </c>
      <c r="C6" s="752" t="s">
        <v>370</v>
      </c>
      <c r="D6" s="752" t="s">
        <v>371</v>
      </c>
      <c r="E6" s="753" t="s">
        <v>290</v>
      </c>
    </row>
    <row r="7" spans="1:19" ht="20.399999999999999">
      <c r="A7" s="53"/>
      <c r="B7" s="714" t="s">
        <v>373</v>
      </c>
      <c r="C7" s="461">
        <f>('DCF - Financials'!R12/'DCF - Financials'!J12)^(1/8)-1</f>
        <v>-1</v>
      </c>
      <c r="D7" s="756"/>
      <c r="E7" s="708"/>
    </row>
    <row r="8" spans="1:19" ht="20.399999999999999">
      <c r="B8" s="714" t="s">
        <v>374</v>
      </c>
      <c r="C8" s="461">
        <f>('DCF - Financials'!R9/'DCF - Financials'!J9)^(1/8)-1</f>
        <v>-1</v>
      </c>
      <c r="D8" s="756"/>
      <c r="E8" s="709"/>
    </row>
    <row r="9" spans="1:19" ht="20.399999999999999">
      <c r="B9" s="714" t="s">
        <v>375</v>
      </c>
      <c r="C9" s="461">
        <f>IFERROR(('DCF - Financials'!R10/'DCF - Financials'!K10)^(1/7)-1,0)</f>
        <v>0</v>
      </c>
      <c r="D9" s="756"/>
      <c r="E9" s="710"/>
    </row>
    <row r="10" spans="1:19" ht="20.399999999999999">
      <c r="B10" s="714" t="s">
        <v>376</v>
      </c>
      <c r="C10" s="461">
        <f>('DCF - Financials'!R11/'DCF - Financials'!J11)^(1/8)-1</f>
        <v>-1</v>
      </c>
      <c r="D10" s="756"/>
      <c r="E10" s="710"/>
    </row>
    <row r="11" spans="1:19" ht="20.399999999999999">
      <c r="B11" s="714" t="s">
        <v>369</v>
      </c>
      <c r="C11" s="461">
        <f>IFERROR(SUM('DCF - Summary'!K26:R26)/SUM('DCF - Summary'!K11:R11),0)</f>
        <v>0</v>
      </c>
      <c r="D11" s="461">
        <f>'DCF - Summary'!R28</f>
        <v>0</v>
      </c>
      <c r="E11" s="710"/>
    </row>
    <row r="12" spans="1:19" ht="20.399999999999999">
      <c r="B12" s="714" t="s">
        <v>341</v>
      </c>
      <c r="C12" s="461">
        <f>SUM('DCF - Summary'!K22:R22)/SUM('DCF - Summary'!J8:R8)</f>
        <v>0</v>
      </c>
      <c r="D12" s="461">
        <f>'DCF - Summary'!R51</f>
        <v>0</v>
      </c>
      <c r="E12" s="710"/>
    </row>
    <row r="13" spans="1:19" ht="20.399999999999999">
      <c r="B13" s="714" t="s">
        <v>340</v>
      </c>
      <c r="C13" s="461">
        <f>SUM('DCF - Summary'!K23:R23)/SUM('DCF - Summary'!J9:R9)</f>
        <v>0</v>
      </c>
      <c r="D13" s="461">
        <f>'DCF - Summary'!R52</f>
        <v>0</v>
      </c>
      <c r="E13" s="710"/>
    </row>
    <row r="14" spans="1:19" ht="24" customHeight="1">
      <c r="B14" s="714" t="s">
        <v>342</v>
      </c>
      <c r="C14" s="461">
        <f>SUM('DCF - Summary'!K24:R24)/SUM('DCF - Summary'!J10:R10)</f>
        <v>0</v>
      </c>
      <c r="D14" s="461">
        <f>'DCF - Summary'!R53</f>
        <v>0</v>
      </c>
      <c r="E14" s="710"/>
    </row>
    <row r="15" spans="1:19" ht="20.399999999999999">
      <c r="B15" s="714" t="s">
        <v>377</v>
      </c>
      <c r="C15" s="461">
        <f>('DCF - Financials'!R34/'DCF - Financials'!J34)^(1/8)-1</f>
        <v>-1</v>
      </c>
      <c r="D15" s="756"/>
      <c r="E15" s="710"/>
    </row>
    <row r="16" spans="1:19" ht="20.399999999999999">
      <c r="B16" s="714" t="s">
        <v>343</v>
      </c>
      <c r="C16" s="461">
        <f>IFERROR(SUM('DCF - Summary'!K32:R32)/SUM('DCF - Summary'!K11:R11),0)</f>
        <v>0</v>
      </c>
      <c r="D16" s="461">
        <f>'DCF - Summary'!R55</f>
        <v>0</v>
      </c>
      <c r="E16" s="710"/>
    </row>
    <row r="17" spans="1:5" ht="20.399999999999999">
      <c r="B17" s="714" t="s">
        <v>372</v>
      </c>
      <c r="C17" s="461">
        <f>IFERROR(-SUM('DCF - Summary'!K61:R61)/SUM('DCF - Summary'!K11:R11),0)</f>
        <v>0</v>
      </c>
      <c r="D17" s="756"/>
      <c r="E17" s="710"/>
    </row>
    <row r="18" spans="1:5">
      <c r="B18" s="711"/>
      <c r="C18" s="436"/>
      <c r="D18" s="436"/>
      <c r="E18" s="712"/>
    </row>
    <row r="19" spans="1:5" ht="13.2">
      <c r="A19" s="53"/>
      <c r="B19" s="748" t="s">
        <v>292</v>
      </c>
      <c r="C19" s="749"/>
      <c r="D19" s="749"/>
      <c r="E19" s="750"/>
    </row>
    <row r="20" spans="1:5">
      <c r="B20" s="706" t="s">
        <v>594</v>
      </c>
      <c r="C20" s="435" t="s">
        <v>291</v>
      </c>
      <c r="D20" s="460"/>
      <c r="E20" s="707" t="s">
        <v>290</v>
      </c>
    </row>
    <row r="21" spans="1:5" ht="19.95" customHeight="1">
      <c r="B21" s="714" t="s">
        <v>13</v>
      </c>
      <c r="C21" s="754">
        <f>'DCF - Valuation'!C11</f>
        <v>0</v>
      </c>
      <c r="D21" s="756"/>
      <c r="E21" s="708"/>
    </row>
    <row r="22" spans="1:5" ht="19.95" customHeight="1">
      <c r="B22" s="715" t="s">
        <v>289</v>
      </c>
      <c r="C22" s="461">
        <f>'DCF - Valuation'!C8</f>
        <v>0</v>
      </c>
      <c r="D22" s="756"/>
      <c r="E22" s="709"/>
    </row>
    <row r="23" spans="1:5" ht="19.95" customHeight="1">
      <c r="B23" s="716" t="s">
        <v>288</v>
      </c>
      <c r="C23" s="461">
        <f>'DCF - Valuation'!C13</f>
        <v>0</v>
      </c>
      <c r="D23" s="756"/>
      <c r="E23" s="710"/>
    </row>
    <row r="24" spans="1:5" ht="19.95" customHeight="1">
      <c r="B24" s="717" t="s">
        <v>287</v>
      </c>
      <c r="C24" s="461">
        <f>'DCF - Valuation'!C18</f>
        <v>0</v>
      </c>
      <c r="D24" s="756"/>
      <c r="E24" s="710"/>
    </row>
    <row r="25" spans="1:5" ht="19.95" customHeight="1">
      <c r="B25" s="718" t="s">
        <v>286</v>
      </c>
      <c r="C25" s="755">
        <f>'DCF - Valuation'!R8</f>
        <v>0</v>
      </c>
      <c r="D25" s="757"/>
      <c r="E25" s="713"/>
    </row>
    <row r="26" spans="1:5" ht="19.95" customHeight="1"/>
    <row r="27" spans="1:5" ht="19.95" hidden="1" customHeight="1"/>
    <row r="28" spans="1:5" ht="19.95" hidden="1" customHeight="1"/>
    <row r="29" spans="1:5" ht="19.95" hidden="1" customHeight="1"/>
    <row r="30" spans="1:5" ht="19.95" hidden="1" customHeight="1">
      <c r="A30" s="4"/>
    </row>
    <row r="31" spans="1:5" ht="19.95" hidden="1" customHeight="1"/>
    <row r="32" spans="1:5" ht="19.95" hidden="1" customHeight="1"/>
    <row r="33"/>
    <row r="34"/>
  </sheetData>
  <conditionalFormatting sqref="R1:S1">
    <cfRule type="cellIs" dxfId="23" priority="1" operator="equal">
      <formula>"Check"</formula>
    </cfRule>
  </conditionalFormatting>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DA46E-D909-48C4-ACC6-2D8B265BD044}">
  <sheetPr>
    <tabColor theme="3" tint="-0.499984740745262"/>
  </sheetPr>
  <dimension ref="A1:CU147"/>
  <sheetViews>
    <sheetView showGridLines="0" workbookViewId="0">
      <selection activeCell="N19" sqref="N19"/>
    </sheetView>
  </sheetViews>
  <sheetFormatPr defaultColWidth="0" defaultRowHeight="14.4" zeroHeight="1"/>
  <cols>
    <col min="1" max="1" width="2.6640625" customWidth="1"/>
    <col min="2" max="2" width="37.6640625" customWidth="1"/>
    <col min="3" max="3" width="10.6640625" customWidth="1"/>
    <col min="4" max="15" width="9.33203125" customWidth="1"/>
    <col min="16" max="16" width="3.33203125" customWidth="1"/>
    <col min="17" max="18" width="5.33203125" customWidth="1"/>
    <col min="19" max="19" width="4.21875" customWidth="1"/>
    <col min="20" max="20" width="4.21875" hidden="1" customWidth="1"/>
    <col min="21" max="21" width="8.88671875" hidden="1" customWidth="1"/>
    <col min="22" max="99" width="0" hidden="1" customWidth="1"/>
    <col min="100" max="16384" width="8.88671875" hidden="1"/>
  </cols>
  <sheetData>
    <row r="1" spans="1:99" s="45" customFormat="1" ht="13.2">
      <c r="A1" s="49" t="str">
        <f>'DCF - Assumptions'!$E$8&amp;" | LBO Model - Summary"</f>
        <v>Tapestry | LBO Model - Summary</v>
      </c>
      <c r="B1" s="1063"/>
      <c r="C1" s="1063"/>
      <c r="D1" s="1064"/>
      <c r="E1" s="1064"/>
      <c r="F1" s="1064"/>
      <c r="G1" s="1064"/>
      <c r="H1" s="1065"/>
      <c r="I1" s="1065"/>
      <c r="J1" s="1064"/>
      <c r="K1" s="1064"/>
      <c r="L1" s="1066"/>
      <c r="M1" s="1064"/>
      <c r="N1" s="1064"/>
      <c r="O1" s="1064"/>
      <c r="P1" s="1064"/>
      <c r="Q1" s="1065" t="str">
        <f>IF(Q5=R5,"OK","Check")</f>
        <v>OK</v>
      </c>
      <c r="R1" s="1065" t="str">
        <f ca="1">IF(Q6=R6,"OK","Check")</f>
        <v>OK</v>
      </c>
      <c r="S1" s="947"/>
      <c r="T1" s="947"/>
      <c r="U1" s="947"/>
      <c r="V1" s="947"/>
      <c r="W1" s="947"/>
      <c r="X1" s="947"/>
      <c r="Y1" s="947"/>
      <c r="Z1" s="947"/>
      <c r="AA1" s="947"/>
      <c r="AB1" s="947"/>
    </row>
    <row r="2" spans="1:99" s="24" customFormat="1" ht="1.95" customHeight="1">
      <c r="A2" s="944"/>
      <c r="B2" s="804"/>
      <c r="C2" s="804"/>
      <c r="D2" s="804"/>
      <c r="E2" s="804"/>
      <c r="F2" s="804"/>
      <c r="G2" s="804"/>
      <c r="H2" s="1059"/>
      <c r="I2" s="1059"/>
      <c r="J2" s="804"/>
      <c r="K2" s="804"/>
      <c r="L2" s="804"/>
      <c r="M2" s="804"/>
      <c r="N2" s="804"/>
      <c r="O2" s="804"/>
      <c r="P2" s="804"/>
      <c r="Q2" s="932"/>
      <c r="R2" s="932"/>
      <c r="S2" s="932"/>
      <c r="T2" s="932"/>
      <c r="U2" s="932"/>
      <c r="V2" s="932"/>
      <c r="W2" s="932"/>
      <c r="X2" s="932"/>
      <c r="Y2" s="932"/>
      <c r="Z2" s="932"/>
      <c r="AA2" s="932"/>
      <c r="AB2" s="93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row>
    <row r="3" spans="1:99" s="176" customFormat="1" ht="3" customHeight="1">
      <c r="A3" s="945"/>
      <c r="B3" s="946"/>
      <c r="C3" s="946"/>
      <c r="D3" s="946"/>
      <c r="E3" s="946"/>
      <c r="F3" s="946"/>
      <c r="G3" s="946"/>
      <c r="H3" s="1060"/>
      <c r="I3" s="1060"/>
      <c r="J3" s="946"/>
      <c r="K3" s="946"/>
      <c r="L3" s="946"/>
      <c r="M3" s="946"/>
      <c r="N3" s="946"/>
      <c r="O3" s="946"/>
      <c r="P3" s="946"/>
      <c r="Q3" s="1060"/>
      <c r="R3" s="1060"/>
      <c r="S3" s="1060"/>
      <c r="T3" s="1060"/>
      <c r="U3" s="1060"/>
      <c r="V3" s="1060"/>
      <c r="W3" s="1060"/>
      <c r="X3" s="1060"/>
      <c r="Y3" s="1060"/>
      <c r="Z3" s="1060"/>
      <c r="AA3" s="1060"/>
      <c r="AB3" s="1060"/>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row>
    <row r="4" spans="1:99" s="495" customFormat="1" ht="11.25" customHeight="1">
      <c r="A4" s="1061"/>
      <c r="B4" s="1061"/>
      <c r="C4" s="1061"/>
      <c r="D4" s="1061"/>
      <c r="E4" s="1061"/>
      <c r="F4" s="1061"/>
      <c r="G4" s="1061"/>
      <c r="H4" s="804"/>
      <c r="I4" s="804"/>
      <c r="J4" s="1061"/>
      <c r="K4" s="1061"/>
      <c r="L4" s="1061"/>
      <c r="M4" s="1061"/>
      <c r="N4" s="1061"/>
      <c r="O4" s="1061"/>
      <c r="P4" s="1061"/>
      <c r="Q4" s="1061"/>
      <c r="R4" s="1061"/>
      <c r="S4" s="1061"/>
      <c r="T4" s="1061"/>
      <c r="U4" s="1061"/>
      <c r="V4" s="1061"/>
      <c r="W4" s="1061"/>
      <c r="X4" s="1062"/>
      <c r="Y4" s="1061"/>
      <c r="Z4" s="1061"/>
      <c r="AA4" s="1061"/>
      <c r="AB4" s="1061"/>
    </row>
    <row r="5" spans="1:99">
      <c r="A5" s="970"/>
      <c r="B5" s="758" t="s">
        <v>590</v>
      </c>
      <c r="C5" s="759"/>
      <c r="D5" s="760"/>
      <c r="E5" s="760"/>
      <c r="F5" s="760"/>
      <c r="G5" s="760"/>
      <c r="H5" s="760"/>
      <c r="I5" s="760"/>
      <c r="J5" s="760"/>
      <c r="K5" s="760"/>
      <c r="L5" s="760"/>
      <c r="M5" s="760"/>
      <c r="N5" s="760"/>
      <c r="O5" s="761"/>
      <c r="P5" s="804"/>
      <c r="Q5" s="951">
        <f>ROWS(B5:B119)</f>
        <v>115</v>
      </c>
      <c r="R5" s="952">
        <v>115</v>
      </c>
      <c r="S5" s="960"/>
      <c r="T5" s="960"/>
      <c r="U5" s="953"/>
      <c r="V5" s="953"/>
      <c r="W5" s="953"/>
      <c r="X5" s="953"/>
      <c r="Y5" s="953"/>
      <c r="Z5" s="953"/>
      <c r="AA5" s="953"/>
      <c r="AB5" s="953"/>
    </row>
    <row r="6" spans="1:99" ht="15" thickBot="1">
      <c r="A6" s="970"/>
      <c r="B6" s="954" t="s">
        <v>433</v>
      </c>
      <c r="C6" s="955"/>
      <c r="D6" s="955"/>
      <c r="E6" s="955"/>
      <c r="F6" s="972"/>
      <c r="G6" s="955" t="s">
        <v>432</v>
      </c>
      <c r="H6" s="955"/>
      <c r="I6" s="955"/>
      <c r="J6" s="955"/>
      <c r="K6" s="955"/>
      <c r="L6" s="955"/>
      <c r="M6" s="955"/>
      <c r="N6" s="955"/>
      <c r="O6" s="1007"/>
      <c r="P6" s="943"/>
      <c r="Q6" s="951">
        <f ca="1">SUM(Q7:Q119)</f>
        <v>94</v>
      </c>
      <c r="R6" s="952">
        <v>94</v>
      </c>
      <c r="S6" s="960"/>
      <c r="T6" s="960"/>
      <c r="U6" s="953"/>
      <c r="V6" s="953"/>
      <c r="W6" s="953"/>
      <c r="X6" s="953"/>
      <c r="Y6" s="953"/>
      <c r="Z6" s="953"/>
      <c r="AA6" s="953"/>
      <c r="AB6" s="953"/>
    </row>
    <row r="7" spans="1:99">
      <c r="A7" s="970"/>
      <c r="B7" s="896" t="str">
        <f>'DCF - Assumptions'!E8</f>
        <v>Tapestry</v>
      </c>
      <c r="C7" s="884"/>
      <c r="D7" s="884">
        <f>'LBO - Assumptions'!E62</f>
        <v>0</v>
      </c>
      <c r="E7" s="1008">
        <f ca="1">D7/$D$14</f>
        <v>0</v>
      </c>
      <c r="F7" s="962"/>
      <c r="G7" s="962" t="s">
        <v>431</v>
      </c>
      <c r="H7" s="962"/>
      <c r="I7" s="962"/>
      <c r="J7" s="962"/>
      <c r="K7" s="962"/>
      <c r="L7" s="962"/>
      <c r="M7" s="962"/>
      <c r="N7" s="884">
        <f ca="1">'LBO - Assumptions'!E49</f>
        <v>0</v>
      </c>
      <c r="O7" s="1009">
        <f ca="1">N7/$N$14</f>
        <v>0</v>
      </c>
      <c r="P7" s="950"/>
      <c r="Q7" s="951">
        <f t="shared" ref="Q7:Q70" si="0">IF(NOT(ISBLANK(B7)), 1, 0)</f>
        <v>1</v>
      </c>
      <c r="R7" s="952">
        <v>1</v>
      </c>
      <c r="S7" s="960"/>
      <c r="T7" s="960"/>
      <c r="U7" s="953"/>
      <c r="V7" s="953"/>
      <c r="W7" s="953"/>
      <c r="X7" s="953"/>
      <c r="Y7" s="953"/>
      <c r="Z7" s="953"/>
      <c r="AA7" s="953"/>
      <c r="AB7" s="953"/>
    </row>
    <row r="8" spans="1:99">
      <c r="A8" s="970"/>
      <c r="B8" s="1010" t="str">
        <f ca="1">"Parent Equity Premium "&amp;TEXT('LBO - Assumptions'!F93,"(#0%)")</f>
        <v>Parent Equity Premium (0%)</v>
      </c>
      <c r="C8" s="1011"/>
      <c r="D8" s="1011">
        <f ca="1">'LBO - Assumptions'!E63</f>
        <v>0</v>
      </c>
      <c r="E8" s="1012">
        <f ca="1">D8/$D$14</f>
        <v>0</v>
      </c>
      <c r="F8" s="962"/>
      <c r="G8" s="962" t="s">
        <v>430</v>
      </c>
      <c r="H8" s="962"/>
      <c r="I8" s="962"/>
      <c r="J8" s="962"/>
      <c r="K8" s="962"/>
      <c r="L8" s="962"/>
      <c r="M8" s="962"/>
      <c r="N8" s="884">
        <f ca="1">'LBO - Assumptions'!E50</f>
        <v>0</v>
      </c>
      <c r="O8" s="1009">
        <f ca="1">N8/N14</f>
        <v>0</v>
      </c>
      <c r="P8" s="950"/>
      <c r="Q8" s="951">
        <f t="shared" ca="1" si="0"/>
        <v>1</v>
      </c>
      <c r="R8" s="952">
        <v>1</v>
      </c>
      <c r="S8" s="960"/>
      <c r="T8" s="960"/>
      <c r="U8" s="953"/>
      <c r="V8" s="953"/>
      <c r="W8" s="953"/>
      <c r="X8" s="953"/>
      <c r="Y8" s="953"/>
      <c r="Z8" s="953"/>
      <c r="AA8" s="953"/>
      <c r="AB8" s="953"/>
    </row>
    <row r="9" spans="1:99">
      <c r="A9" s="970"/>
      <c r="B9" s="1013" t="s">
        <v>429</v>
      </c>
      <c r="C9" s="962"/>
      <c r="D9" s="884">
        <f ca="1">SUM(D7:D8)</f>
        <v>0</v>
      </c>
      <c r="E9" s="1014">
        <f ca="1">D9/D14</f>
        <v>0</v>
      </c>
      <c r="F9" s="962"/>
      <c r="G9" s="962" t="s">
        <v>385</v>
      </c>
      <c r="H9" s="962"/>
      <c r="I9" s="962"/>
      <c r="J9" s="962"/>
      <c r="K9" s="962"/>
      <c r="L9" s="962"/>
      <c r="M9" s="962"/>
      <c r="N9" s="884">
        <f ca="1">'LBO - Assumptions'!E51</f>
        <v>0</v>
      </c>
      <c r="O9" s="1009">
        <f ca="1">N9/$N$14</f>
        <v>0</v>
      </c>
      <c r="P9" s="950"/>
      <c r="Q9" s="951">
        <f t="shared" si="0"/>
        <v>1</v>
      </c>
      <c r="R9" s="952">
        <v>1</v>
      </c>
      <c r="S9" s="960"/>
      <c r="T9" s="960"/>
      <c r="U9" s="953"/>
      <c r="V9" s="953"/>
      <c r="W9" s="953"/>
      <c r="X9" s="953"/>
      <c r="Y9" s="953"/>
      <c r="Z9" s="953"/>
      <c r="AA9" s="953"/>
      <c r="AB9" s="953"/>
    </row>
    <row r="10" spans="1:99">
      <c r="A10" s="970"/>
      <c r="B10" s="1015" t="str">
        <f>'LBO - Assumptions'!B66</f>
        <v>Debt Retired / Assumed</v>
      </c>
      <c r="C10" s="884"/>
      <c r="D10" s="884">
        <f>'LBO - Assumptions'!E66</f>
        <v>1733.9</v>
      </c>
      <c r="E10" s="1008">
        <f ca="1">D10/$D$14</f>
        <v>1</v>
      </c>
      <c r="F10" s="962"/>
      <c r="G10" s="1016" t="s">
        <v>428</v>
      </c>
      <c r="H10" s="1016"/>
      <c r="I10" s="1016"/>
      <c r="J10" s="1016"/>
      <c r="K10" s="1016"/>
      <c r="L10" s="1016"/>
      <c r="M10" s="1016"/>
      <c r="N10" s="1011">
        <f ca="1">'LBO - Assumptions'!E52</f>
        <v>0</v>
      </c>
      <c r="O10" s="1017">
        <f ca="1">N10/$N$14</f>
        <v>0</v>
      </c>
      <c r="P10" s="950"/>
      <c r="Q10" s="951">
        <f t="shared" si="0"/>
        <v>1</v>
      </c>
      <c r="R10" s="952">
        <v>1</v>
      </c>
      <c r="S10" s="960"/>
      <c r="T10" s="960"/>
      <c r="U10" s="953"/>
      <c r="V10" s="953"/>
      <c r="W10" s="953"/>
      <c r="X10" s="953"/>
      <c r="Y10" s="953"/>
      <c r="Z10" s="953"/>
      <c r="AA10" s="953"/>
      <c r="AB10" s="953"/>
    </row>
    <row r="11" spans="1:99">
      <c r="A11" s="970"/>
      <c r="B11" s="896" t="s">
        <v>427</v>
      </c>
      <c r="C11" s="884"/>
      <c r="D11" s="884">
        <f ca="1">'LBO - Assumptions'!E67</f>
        <v>0</v>
      </c>
      <c r="E11" s="1008">
        <f ca="1">D11/$D$14</f>
        <v>0</v>
      </c>
      <c r="F11" s="962"/>
      <c r="G11" s="1018" t="s">
        <v>426</v>
      </c>
      <c r="H11" s="962"/>
      <c r="I11" s="962"/>
      <c r="J11" s="962"/>
      <c r="K11" s="962"/>
      <c r="L11" s="962"/>
      <c r="M11" s="962"/>
      <c r="N11" s="1019">
        <f ca="1">SUM(N7:N10)</f>
        <v>0</v>
      </c>
      <c r="O11" s="1020">
        <f ca="1">N11/$N$14</f>
        <v>0</v>
      </c>
      <c r="P11" s="960"/>
      <c r="Q11" s="951">
        <f t="shared" si="0"/>
        <v>1</v>
      </c>
      <c r="R11" s="952">
        <v>1</v>
      </c>
      <c r="S11" s="960"/>
      <c r="T11" s="960"/>
      <c r="U11" s="953"/>
      <c r="V11" s="953"/>
      <c r="W11" s="953"/>
      <c r="X11" s="953"/>
      <c r="Y11" s="953"/>
      <c r="Z11" s="953"/>
      <c r="AA11" s="953"/>
      <c r="AB11" s="953"/>
    </row>
    <row r="12" spans="1:99">
      <c r="A12" s="970"/>
      <c r="B12" s="896"/>
      <c r="C12" s="884"/>
      <c r="D12" s="884"/>
      <c r="E12" s="1021"/>
      <c r="F12" s="962"/>
      <c r="G12" s="962" t="s">
        <v>425</v>
      </c>
      <c r="H12" s="962"/>
      <c r="I12" s="962"/>
      <c r="J12" s="962"/>
      <c r="K12" s="962"/>
      <c r="L12" s="962"/>
      <c r="M12" s="962"/>
      <c r="N12" s="884">
        <f ca="1">'LBO - Assumptions'!E55</f>
        <v>490.5</v>
      </c>
      <c r="O12" s="1022">
        <f ca="1">N12/$N$14</f>
        <v>0.28288828652171405</v>
      </c>
      <c r="P12" s="950"/>
      <c r="Q12" s="951">
        <f t="shared" si="0"/>
        <v>0</v>
      </c>
      <c r="R12" s="952">
        <v>0</v>
      </c>
      <c r="S12" s="960"/>
      <c r="T12" s="960"/>
      <c r="U12" s="953"/>
      <c r="V12" s="953"/>
      <c r="W12" s="953"/>
      <c r="X12" s="953"/>
      <c r="Y12" s="953"/>
      <c r="Z12" s="953"/>
      <c r="AA12" s="953"/>
      <c r="AB12" s="953"/>
    </row>
    <row r="13" spans="1:99">
      <c r="A13" s="970"/>
      <c r="B13" s="896"/>
      <c r="C13" s="884"/>
      <c r="D13" s="884"/>
      <c r="E13" s="1021"/>
      <c r="F13" s="962"/>
      <c r="G13" s="962" t="s">
        <v>424</v>
      </c>
      <c r="H13" s="962"/>
      <c r="I13" s="962"/>
      <c r="J13" s="962"/>
      <c r="K13" s="962"/>
      <c r="L13" s="962"/>
      <c r="M13" s="962"/>
      <c r="N13" s="884">
        <f ca="1">'LBO - Assumptions'!E58</f>
        <v>1243.4000000000001</v>
      </c>
      <c r="O13" s="1022">
        <f ca="1">N13/$N$14</f>
        <v>0.71711171347828595</v>
      </c>
      <c r="P13" s="950"/>
      <c r="Q13" s="951">
        <f t="shared" si="0"/>
        <v>0</v>
      </c>
      <c r="R13" s="952">
        <v>0</v>
      </c>
      <c r="S13" s="960"/>
      <c r="T13" s="960"/>
      <c r="U13" s="953"/>
      <c r="V13" s="953"/>
      <c r="W13" s="953"/>
      <c r="X13" s="953"/>
      <c r="Y13" s="953"/>
      <c r="Z13" s="953"/>
      <c r="AA13" s="953"/>
      <c r="AB13" s="953"/>
    </row>
    <row r="14" spans="1:99">
      <c r="A14" s="970"/>
      <c r="B14" s="881" t="s">
        <v>423</v>
      </c>
      <c r="C14" s="816"/>
      <c r="D14" s="816">
        <f ca="1">SUM(D9:D13)</f>
        <v>1733.9</v>
      </c>
      <c r="E14" s="1023">
        <f ca="1">SUM(E9:E13)</f>
        <v>1</v>
      </c>
      <c r="F14" s="962"/>
      <c r="G14" s="886" t="s">
        <v>422</v>
      </c>
      <c r="H14" s="886"/>
      <c r="I14" s="886"/>
      <c r="J14" s="886"/>
      <c r="K14" s="886"/>
      <c r="L14" s="886"/>
      <c r="M14" s="886"/>
      <c r="N14" s="816">
        <f ca="1">SUM(N11:N13)</f>
        <v>1733.9</v>
      </c>
      <c r="O14" s="1024">
        <f ca="1">SUM(O11:O13)</f>
        <v>1</v>
      </c>
      <c r="P14" s="950"/>
      <c r="Q14" s="951">
        <f t="shared" si="0"/>
        <v>1</v>
      </c>
      <c r="R14" s="952">
        <v>1</v>
      </c>
      <c r="S14" s="960"/>
      <c r="T14" s="960"/>
      <c r="U14" s="953"/>
      <c r="V14" s="953"/>
      <c r="W14" s="953"/>
      <c r="X14" s="953"/>
      <c r="Y14" s="953"/>
      <c r="Z14" s="953"/>
      <c r="AA14" s="953"/>
      <c r="AB14" s="953"/>
    </row>
    <row r="15" spans="1:99">
      <c r="A15" s="970"/>
      <c r="B15" s="896"/>
      <c r="C15" s="962"/>
      <c r="D15" s="962"/>
      <c r="E15" s="962"/>
      <c r="F15" s="962"/>
      <c r="G15" s="962"/>
      <c r="H15" s="962"/>
      <c r="I15" s="962"/>
      <c r="J15" s="948" t="s">
        <v>415</v>
      </c>
      <c r="K15" s="948"/>
      <c r="L15" s="948"/>
      <c r="M15" s="948"/>
      <c r="N15" s="948"/>
      <c r="O15" s="949"/>
      <c r="P15" s="1025"/>
      <c r="Q15" s="951">
        <f t="shared" si="0"/>
        <v>0</v>
      </c>
      <c r="R15" s="952">
        <v>0</v>
      </c>
      <c r="S15" s="960"/>
      <c r="T15" s="960"/>
      <c r="U15" s="953"/>
      <c r="V15" s="953"/>
      <c r="W15" s="953"/>
      <c r="X15" s="953"/>
      <c r="Y15" s="953"/>
      <c r="Z15" s="953"/>
      <c r="AA15" s="953"/>
      <c r="AB15" s="953"/>
    </row>
    <row r="16" spans="1:99" ht="15" thickBot="1">
      <c r="A16" s="932"/>
      <c r="B16" s="954" t="s">
        <v>419</v>
      </c>
      <c r="C16" s="955"/>
      <c r="D16" s="955"/>
      <c r="E16" s="955"/>
      <c r="F16" s="955"/>
      <c r="G16" s="955"/>
      <c r="H16" s="956"/>
      <c r="I16" s="956">
        <f t="shared" ref="I16:O16" si="1">I32</f>
        <v>2019</v>
      </c>
      <c r="J16" s="956">
        <f t="shared" si="1"/>
        <v>2020</v>
      </c>
      <c r="K16" s="956">
        <f t="shared" si="1"/>
        <v>2021</v>
      </c>
      <c r="L16" s="956">
        <f t="shared" si="1"/>
        <v>2022</v>
      </c>
      <c r="M16" s="956">
        <f t="shared" si="1"/>
        <v>2023</v>
      </c>
      <c r="N16" s="956">
        <f t="shared" si="1"/>
        <v>2024</v>
      </c>
      <c r="O16" s="957">
        <f t="shared" si="1"/>
        <v>2025</v>
      </c>
      <c r="P16" s="950"/>
      <c r="Q16" s="951">
        <f t="shared" si="0"/>
        <v>1</v>
      </c>
      <c r="R16" s="952">
        <v>1</v>
      </c>
      <c r="S16" s="953"/>
      <c r="T16" s="953"/>
      <c r="U16" s="953"/>
      <c r="V16" s="953"/>
      <c r="W16" s="953"/>
      <c r="X16" s="953"/>
      <c r="Y16" s="953"/>
      <c r="Z16" s="953"/>
      <c r="AA16" s="953"/>
      <c r="AB16" s="953"/>
    </row>
    <row r="17" spans="1:28">
      <c r="A17" s="932"/>
      <c r="B17" s="971" t="str">
        <f>B52</f>
        <v>Proforma Revenue Forecast</v>
      </c>
      <c r="C17" s="1026" t="s">
        <v>609</v>
      </c>
      <c r="D17" s="1027"/>
      <c r="E17" s="1028">
        <f ca="1">IFERROR('LBO - Financials'!E72,0)</f>
        <v>0</v>
      </c>
      <c r="F17" s="972"/>
      <c r="G17" s="972"/>
      <c r="H17" s="1029"/>
      <c r="I17" s="884"/>
      <c r="J17" s="884">
        <f t="shared" ref="J17:O17" ca="1" si="2">J52</f>
        <v>0</v>
      </c>
      <c r="K17" s="884">
        <f t="shared" ca="1" si="2"/>
        <v>0</v>
      </c>
      <c r="L17" s="884">
        <f t="shared" ca="1" si="2"/>
        <v>0</v>
      </c>
      <c r="M17" s="884">
        <f t="shared" ca="1" si="2"/>
        <v>0</v>
      </c>
      <c r="N17" s="884">
        <f t="shared" ca="1" si="2"/>
        <v>0</v>
      </c>
      <c r="O17" s="885">
        <f t="shared" ca="1" si="2"/>
        <v>0</v>
      </c>
      <c r="P17" s="950"/>
      <c r="Q17" s="951">
        <f t="shared" si="0"/>
        <v>1</v>
      </c>
      <c r="R17" s="952">
        <v>1</v>
      </c>
      <c r="S17" s="953"/>
      <c r="T17" s="953"/>
      <c r="U17" s="953"/>
      <c r="V17" s="953"/>
      <c r="W17" s="953"/>
      <c r="X17" s="953"/>
      <c r="Y17" s="953"/>
      <c r="Z17" s="953"/>
      <c r="AA17" s="953"/>
      <c r="AB17" s="953"/>
    </row>
    <row r="18" spans="1:28">
      <c r="A18" s="932"/>
      <c r="B18" s="971" t="str">
        <f>B55</f>
        <v>Revenue &amp; Margin Synergies EBITDA Contribution</v>
      </c>
      <c r="C18" s="1030" t="s">
        <v>608</v>
      </c>
      <c r="D18" s="972"/>
      <c r="E18" s="1028">
        <f ca="1">'LBO - Financials'!E82</f>
        <v>0</v>
      </c>
      <c r="F18" s="972"/>
      <c r="G18" s="972"/>
      <c r="H18" s="1029"/>
      <c r="I18" s="884"/>
      <c r="J18" s="884">
        <f t="shared" ref="J18:O19" ca="1" si="3">J55</f>
        <v>0</v>
      </c>
      <c r="K18" s="884">
        <f t="shared" ca="1" si="3"/>
        <v>0</v>
      </c>
      <c r="L18" s="884">
        <f t="shared" ca="1" si="3"/>
        <v>0</v>
      </c>
      <c r="M18" s="884">
        <f t="shared" ca="1" si="3"/>
        <v>0</v>
      </c>
      <c r="N18" s="884">
        <f t="shared" ca="1" si="3"/>
        <v>0</v>
      </c>
      <c r="O18" s="885">
        <f t="shared" ca="1" si="3"/>
        <v>0</v>
      </c>
      <c r="P18" s="950"/>
      <c r="Q18" s="951">
        <f t="shared" si="0"/>
        <v>1</v>
      </c>
      <c r="R18" s="952">
        <v>1</v>
      </c>
      <c r="S18" s="953"/>
      <c r="T18" s="953"/>
      <c r="U18" s="953"/>
      <c r="V18" s="953"/>
      <c r="W18" s="953"/>
      <c r="X18" s="953"/>
      <c r="Y18" s="953"/>
      <c r="Z18" s="953"/>
      <c r="AA18" s="953"/>
      <c r="AB18" s="953"/>
    </row>
    <row r="19" spans="1:28">
      <c r="A19" s="932"/>
      <c r="B19" s="971" t="str">
        <f>B56</f>
        <v>Proforma EBITDA Forecast</v>
      </c>
      <c r="C19" s="1026" t="s">
        <v>617</v>
      </c>
      <c r="D19" s="1027"/>
      <c r="E19" s="1028">
        <f ca="1">IFERROR(SUM(J19:O19)/SUM(J17:O17),0)</f>
        <v>0</v>
      </c>
      <c r="F19" s="972"/>
      <c r="G19" s="972"/>
      <c r="H19" s="1029"/>
      <c r="I19" s="884"/>
      <c r="J19" s="884">
        <f t="shared" ca="1" si="3"/>
        <v>0</v>
      </c>
      <c r="K19" s="884">
        <f t="shared" ca="1" si="3"/>
        <v>0</v>
      </c>
      <c r="L19" s="884">
        <f t="shared" ca="1" si="3"/>
        <v>0</v>
      </c>
      <c r="M19" s="884">
        <f t="shared" ca="1" si="3"/>
        <v>0</v>
      </c>
      <c r="N19" s="884">
        <f t="shared" ca="1" si="3"/>
        <v>0</v>
      </c>
      <c r="O19" s="885">
        <f t="shared" ca="1" si="3"/>
        <v>0</v>
      </c>
      <c r="P19" s="950"/>
      <c r="Q19" s="951">
        <f t="shared" si="0"/>
        <v>1</v>
      </c>
      <c r="R19" s="952">
        <v>1</v>
      </c>
      <c r="S19" s="953"/>
      <c r="T19" s="953"/>
      <c r="U19" s="953"/>
      <c r="V19" s="953"/>
      <c r="W19" s="953"/>
      <c r="X19" s="953"/>
      <c r="Y19" s="953"/>
      <c r="Z19" s="953"/>
      <c r="AA19" s="953"/>
      <c r="AB19" s="953"/>
    </row>
    <row r="20" spans="1:28">
      <c r="A20" s="932"/>
      <c r="B20" s="1031" t="str">
        <f>B62</f>
        <v>Cashflow for Debt Service (post Taxes, Capex, &amp; WC)</v>
      </c>
      <c r="C20" s="1032"/>
      <c r="D20" s="1033"/>
      <c r="E20" s="1034"/>
      <c r="F20" s="1035"/>
      <c r="G20" s="1035"/>
      <c r="H20" s="1036"/>
      <c r="I20" s="1037"/>
      <c r="J20" s="1037">
        <f t="shared" ref="J20:O20" ca="1" si="4">J62</f>
        <v>0</v>
      </c>
      <c r="K20" s="1037">
        <f t="shared" ca="1" si="4"/>
        <v>0</v>
      </c>
      <c r="L20" s="1037">
        <f t="shared" ca="1" si="4"/>
        <v>0</v>
      </c>
      <c r="M20" s="1037">
        <f t="shared" ca="1" si="4"/>
        <v>0</v>
      </c>
      <c r="N20" s="1037">
        <f t="shared" ca="1" si="4"/>
        <v>0</v>
      </c>
      <c r="O20" s="1038">
        <f t="shared" ca="1" si="4"/>
        <v>0</v>
      </c>
      <c r="P20" s="950"/>
      <c r="Q20" s="951">
        <f t="shared" si="0"/>
        <v>1</v>
      </c>
      <c r="R20" s="952">
        <v>1</v>
      </c>
      <c r="S20" s="953"/>
      <c r="T20" s="953"/>
      <c r="U20" s="953"/>
      <c r="V20" s="953"/>
      <c r="W20" s="953"/>
      <c r="X20" s="953"/>
      <c r="Y20" s="953"/>
      <c r="Z20" s="953"/>
      <c r="AA20" s="953"/>
      <c r="AB20" s="953"/>
    </row>
    <row r="21" spans="1:28">
      <c r="A21" s="932"/>
      <c r="B21" s="971" t="str">
        <f>B66</f>
        <v>Mandatory Debt Service (Interest Expense)</v>
      </c>
      <c r="C21" s="972"/>
      <c r="D21" s="972"/>
      <c r="E21" s="972"/>
      <c r="F21" s="972"/>
      <c r="G21" s="972"/>
      <c r="H21" s="1029"/>
      <c r="I21" s="884"/>
      <c r="J21" s="884">
        <f t="shared" ref="J21:O21" ca="1" si="5">J66</f>
        <v>0</v>
      </c>
      <c r="K21" s="884">
        <f t="shared" ca="1" si="5"/>
        <v>0</v>
      </c>
      <c r="L21" s="884">
        <f t="shared" ca="1" si="5"/>
        <v>0</v>
      </c>
      <c r="M21" s="884">
        <f t="shared" ca="1" si="5"/>
        <v>0</v>
      </c>
      <c r="N21" s="884">
        <f t="shared" ca="1" si="5"/>
        <v>0</v>
      </c>
      <c r="O21" s="885">
        <f t="shared" ca="1" si="5"/>
        <v>0</v>
      </c>
      <c r="P21" s="950"/>
      <c r="Q21" s="951">
        <f t="shared" si="0"/>
        <v>1</v>
      </c>
      <c r="R21" s="952">
        <v>1</v>
      </c>
      <c r="S21" s="953"/>
      <c r="T21" s="953"/>
      <c r="U21" s="953"/>
      <c r="V21" s="953"/>
      <c r="W21" s="953"/>
      <c r="X21" s="953"/>
      <c r="Y21" s="953"/>
      <c r="Z21" s="953"/>
      <c r="AA21" s="953"/>
      <c r="AB21" s="953"/>
    </row>
    <row r="22" spans="1:28">
      <c r="A22" s="932"/>
      <c r="B22" s="971" t="str">
        <f>B73</f>
        <v>Repayment of LBO Debt</v>
      </c>
      <c r="C22" s="972"/>
      <c r="D22" s="972"/>
      <c r="E22" s="972"/>
      <c r="F22" s="972"/>
      <c r="G22" s="972"/>
      <c r="H22" s="1029"/>
      <c r="I22" s="884"/>
      <c r="J22" s="884">
        <f t="shared" ref="J22:O22" ca="1" si="6">J73</f>
        <v>0</v>
      </c>
      <c r="K22" s="884">
        <f t="shared" ca="1" si="6"/>
        <v>0</v>
      </c>
      <c r="L22" s="884">
        <f t="shared" ca="1" si="6"/>
        <v>0</v>
      </c>
      <c r="M22" s="884">
        <f t="shared" ca="1" si="6"/>
        <v>0</v>
      </c>
      <c r="N22" s="884">
        <f t="shared" ca="1" si="6"/>
        <v>0</v>
      </c>
      <c r="O22" s="885">
        <f t="shared" ca="1" si="6"/>
        <v>0</v>
      </c>
      <c r="P22" s="950"/>
      <c r="Q22" s="951">
        <f t="shared" si="0"/>
        <v>1</v>
      </c>
      <c r="R22" s="952">
        <v>1</v>
      </c>
      <c r="S22" s="953"/>
      <c r="T22" s="953"/>
      <c r="U22" s="953"/>
      <c r="V22" s="953"/>
      <c r="W22" s="953"/>
      <c r="X22" s="953"/>
      <c r="Y22" s="953"/>
      <c r="Z22" s="953"/>
      <c r="AA22" s="953"/>
      <c r="AB22" s="953"/>
    </row>
    <row r="23" spans="1:28">
      <c r="A23" s="932"/>
      <c r="B23" s="1031" t="s">
        <v>579</v>
      </c>
      <c r="C23" s="1035"/>
      <c r="D23" s="1035"/>
      <c r="E23" s="1035"/>
      <c r="F23" s="1035"/>
      <c r="G23" s="1035"/>
      <c r="H23" s="1036"/>
      <c r="I23" s="1037">
        <f t="shared" ref="I23:O23" si="7">SUM(I20:I22)</f>
        <v>0</v>
      </c>
      <c r="J23" s="1037">
        <f t="shared" ca="1" si="7"/>
        <v>0</v>
      </c>
      <c r="K23" s="1037">
        <f t="shared" ca="1" si="7"/>
        <v>0</v>
      </c>
      <c r="L23" s="1037">
        <f t="shared" ca="1" si="7"/>
        <v>0</v>
      </c>
      <c r="M23" s="1037">
        <f t="shared" ca="1" si="7"/>
        <v>0</v>
      </c>
      <c r="N23" s="1037">
        <f t="shared" ca="1" si="7"/>
        <v>0</v>
      </c>
      <c r="O23" s="1038">
        <f t="shared" ca="1" si="7"/>
        <v>0</v>
      </c>
      <c r="P23" s="950"/>
      <c r="Q23" s="951">
        <f t="shared" si="0"/>
        <v>1</v>
      </c>
      <c r="R23" s="952">
        <v>1</v>
      </c>
      <c r="S23" s="953"/>
      <c r="T23" s="953"/>
      <c r="U23" s="953"/>
      <c r="V23" s="953"/>
      <c r="W23" s="953"/>
      <c r="X23" s="953"/>
      <c r="Y23" s="953"/>
      <c r="Z23" s="953"/>
      <c r="AA23" s="953"/>
      <c r="AB23" s="953"/>
    </row>
    <row r="24" spans="1:28">
      <c r="A24" s="970"/>
      <c r="B24" s="896" t="s">
        <v>418</v>
      </c>
      <c r="C24" s="1003"/>
      <c r="D24" s="1003"/>
      <c r="E24" s="1003"/>
      <c r="F24" s="1003"/>
      <c r="G24" s="962"/>
      <c r="H24" s="884"/>
      <c r="I24" s="884">
        <f ca="1">'LBO - Financials'!F32</f>
        <v>-490.5</v>
      </c>
      <c r="J24" s="884">
        <f>'LBO - Financials'!G32</f>
        <v>0</v>
      </c>
      <c r="K24" s="884">
        <f>'LBO - Financials'!H32</f>
        <v>0</v>
      </c>
      <c r="L24" s="884">
        <f>'LBO - Financials'!I32</f>
        <v>0</v>
      </c>
      <c r="M24" s="884">
        <f>'LBO - Financials'!J32</f>
        <v>0</v>
      </c>
      <c r="N24" s="884">
        <f>'LBO - Financials'!K32</f>
        <v>0</v>
      </c>
      <c r="O24" s="885">
        <f>'LBO - Financials'!L32</f>
        <v>0</v>
      </c>
      <c r="P24" s="950"/>
      <c r="Q24" s="951">
        <f t="shared" si="0"/>
        <v>1</v>
      </c>
      <c r="R24" s="952">
        <v>1</v>
      </c>
      <c r="S24" s="953"/>
      <c r="T24" s="953"/>
      <c r="U24" s="953"/>
      <c r="V24" s="953"/>
      <c r="W24" s="953"/>
      <c r="X24" s="953"/>
      <c r="Y24" s="953"/>
      <c r="Z24" s="953"/>
      <c r="AA24" s="953"/>
      <c r="AB24" s="953"/>
    </row>
    <row r="25" spans="1:28">
      <c r="A25" s="970"/>
      <c r="B25" s="896" t="str">
        <f ca="1">"Sales Proceeds (based on "&amp;TEXT('LBO - Assumptions'!D34,"#0.0x")&amp;" LTM EBITDA multiple)"</f>
        <v>Sales Proceeds (based on 0.0x LTM EBITDA multiple)</v>
      </c>
      <c r="C25" s="1003"/>
      <c r="D25" s="1003"/>
      <c r="E25" s="1003"/>
      <c r="F25" s="1003"/>
      <c r="G25" s="962"/>
      <c r="H25" s="884"/>
      <c r="I25" s="884">
        <f>'LBO - Financials'!F34</f>
        <v>0</v>
      </c>
      <c r="J25" s="884">
        <f ca="1">'LBO - Financials'!G34</f>
        <v>0</v>
      </c>
      <c r="K25" s="884">
        <f ca="1">'LBO - Financials'!H34</f>
        <v>0</v>
      </c>
      <c r="L25" s="884">
        <f ca="1">'LBO - Financials'!I34</f>
        <v>0</v>
      </c>
      <c r="M25" s="884">
        <f ca="1">'LBO - Financials'!J34</f>
        <v>0</v>
      </c>
      <c r="N25" s="884">
        <f ca="1">'LBO - Financials'!K34</f>
        <v>0</v>
      </c>
      <c r="O25" s="885">
        <f ca="1">'LBO - Financials'!L34</f>
        <v>0</v>
      </c>
      <c r="P25" s="950"/>
      <c r="Q25" s="951">
        <f t="shared" ca="1" si="0"/>
        <v>1</v>
      </c>
      <c r="R25" s="952">
        <v>1</v>
      </c>
      <c r="S25" s="953"/>
      <c r="T25" s="953"/>
      <c r="U25" s="953"/>
      <c r="V25" s="953"/>
      <c r="W25" s="953"/>
      <c r="X25" s="953"/>
      <c r="Y25" s="953"/>
      <c r="Z25" s="953"/>
      <c r="AA25" s="953"/>
      <c r="AB25" s="953"/>
    </row>
    <row r="26" spans="1:28">
      <c r="A26" s="970"/>
      <c r="B26" s="896" t="str">
        <f>'LBO - Financials'!B36</f>
        <v>(-) Exit Transaction Costs</v>
      </c>
      <c r="C26" s="962"/>
      <c r="D26" s="962"/>
      <c r="E26" s="962"/>
      <c r="F26" s="962" t="s">
        <v>598</v>
      </c>
      <c r="G26" s="1039">
        <f>'LBO - Assumptions'!F91</f>
        <v>38.93</v>
      </c>
      <c r="H26" s="884"/>
      <c r="I26" s="884">
        <f>'LBO - Financials'!F36</f>
        <v>0</v>
      </c>
      <c r="J26" s="884">
        <f ca="1">'LBO - Financials'!G36</f>
        <v>0</v>
      </c>
      <c r="K26" s="884">
        <f ca="1">'LBO - Financials'!H36</f>
        <v>0</v>
      </c>
      <c r="L26" s="884">
        <f ca="1">'LBO - Financials'!I36</f>
        <v>0</v>
      </c>
      <c r="M26" s="884">
        <f ca="1">'LBO - Financials'!J36</f>
        <v>0</v>
      </c>
      <c r="N26" s="884">
        <f ca="1">'LBO - Financials'!K36</f>
        <v>0</v>
      </c>
      <c r="O26" s="885">
        <f ca="1">'LBO - Financials'!L36</f>
        <v>0</v>
      </c>
      <c r="P26" s="950"/>
      <c r="Q26" s="951">
        <f t="shared" si="0"/>
        <v>1</v>
      </c>
      <c r="R26" s="952">
        <v>1</v>
      </c>
      <c r="S26" s="953"/>
      <c r="T26" s="953"/>
      <c r="U26" s="953"/>
      <c r="V26" s="953"/>
      <c r="W26" s="953"/>
      <c r="X26" s="953"/>
      <c r="Y26" s="953"/>
      <c r="Z26" s="953"/>
      <c r="AA26" s="953"/>
      <c r="AB26" s="953"/>
    </row>
    <row r="27" spans="1:28">
      <c r="A27" s="960"/>
      <c r="B27" s="1015" t="str">
        <f>'LBO - Financials'!B35</f>
        <v>(-) Remaining Debt at Exit</v>
      </c>
      <c r="C27" s="962"/>
      <c r="D27" s="962"/>
      <c r="E27" s="962"/>
      <c r="F27" s="962" t="s">
        <v>597</v>
      </c>
      <c r="G27" s="1040">
        <f ca="1">'LBO - Assumptions'!F94</f>
        <v>38.93</v>
      </c>
      <c r="H27" s="884"/>
      <c r="I27" s="884">
        <f>'LBO - Financials'!F35</f>
        <v>0</v>
      </c>
      <c r="J27" s="884">
        <f ca="1">'LBO - Financials'!G35</f>
        <v>0</v>
      </c>
      <c r="K27" s="884">
        <f ca="1">'LBO - Financials'!H35</f>
        <v>0</v>
      </c>
      <c r="L27" s="884">
        <f ca="1">'LBO - Financials'!I35</f>
        <v>0</v>
      </c>
      <c r="M27" s="884">
        <f ca="1">'LBO - Financials'!J35</f>
        <v>0</v>
      </c>
      <c r="N27" s="884">
        <f ca="1">'LBO - Financials'!K35</f>
        <v>0</v>
      </c>
      <c r="O27" s="885">
        <f ca="1">'LBO - Financials'!L35</f>
        <v>0</v>
      </c>
      <c r="P27" s="950"/>
      <c r="Q27" s="951">
        <f t="shared" si="0"/>
        <v>1</v>
      </c>
      <c r="R27" s="952">
        <v>1</v>
      </c>
      <c r="S27" s="953"/>
      <c r="T27" s="953"/>
      <c r="U27" s="953"/>
      <c r="V27" s="953"/>
      <c r="W27" s="953"/>
      <c r="X27" s="953"/>
      <c r="Y27" s="953"/>
      <c r="Z27" s="953"/>
      <c r="AA27" s="953"/>
      <c r="AB27" s="953"/>
    </row>
    <row r="28" spans="1:28">
      <c r="A28" s="970"/>
      <c r="B28" s="1015" t="str">
        <f>'LBO - Financials'!B33</f>
        <v>(+) Excess Cash</v>
      </c>
      <c r="C28" s="1003"/>
      <c r="D28" s="1003"/>
      <c r="E28" s="962"/>
      <c r="F28" s="962" t="s">
        <v>599</v>
      </c>
      <c r="G28" s="1041">
        <f ca="1">'LBO - Assumptions'!F93</f>
        <v>0</v>
      </c>
      <c r="H28" s="884"/>
      <c r="I28" s="884">
        <f>'LBO - Financials'!F33</f>
        <v>0</v>
      </c>
      <c r="J28" s="884">
        <f ca="1">'LBO - Financials'!G33</f>
        <v>0</v>
      </c>
      <c r="K28" s="884">
        <f ca="1">'LBO - Financials'!H33</f>
        <v>0</v>
      </c>
      <c r="L28" s="884">
        <f ca="1">'LBO - Financials'!I33</f>
        <v>0</v>
      </c>
      <c r="M28" s="884">
        <f ca="1">'LBO - Financials'!J33</f>
        <v>0</v>
      </c>
      <c r="N28" s="884">
        <f ca="1">'LBO - Financials'!K33</f>
        <v>0</v>
      </c>
      <c r="O28" s="885">
        <f ca="1">'LBO - Financials'!L33</f>
        <v>0</v>
      </c>
      <c r="P28" s="950"/>
      <c r="Q28" s="951">
        <f t="shared" si="0"/>
        <v>1</v>
      </c>
      <c r="R28" s="952">
        <v>1</v>
      </c>
      <c r="S28" s="953"/>
      <c r="T28" s="953"/>
      <c r="U28" s="953"/>
      <c r="V28" s="953"/>
      <c r="W28" s="953"/>
      <c r="X28" s="953"/>
      <c r="Y28" s="953"/>
      <c r="Z28" s="953"/>
      <c r="AA28" s="953"/>
      <c r="AB28" s="953"/>
    </row>
    <row r="29" spans="1:28">
      <c r="A29" s="960"/>
      <c r="B29" s="1015" t="str">
        <f>'LBO - Financials'!B37</f>
        <v>(+) Residual Cash Flows</v>
      </c>
      <c r="C29" s="962"/>
      <c r="D29" s="962"/>
      <c r="E29" s="962"/>
      <c r="F29" s="962"/>
      <c r="G29" s="1042"/>
      <c r="H29" s="884"/>
      <c r="I29" s="884">
        <f>'LBO - Financials'!F37</f>
        <v>0</v>
      </c>
      <c r="J29" s="884">
        <f ca="1">'LBO - Financials'!G37</f>
        <v>0</v>
      </c>
      <c r="K29" s="884">
        <f ca="1">'LBO - Financials'!H37</f>
        <v>0</v>
      </c>
      <c r="L29" s="884">
        <f ca="1">'LBO - Financials'!I37</f>
        <v>0</v>
      </c>
      <c r="M29" s="884">
        <f ca="1">'LBO - Financials'!J37</f>
        <v>0</v>
      </c>
      <c r="N29" s="884">
        <f ca="1">'LBO - Financials'!K37</f>
        <v>0</v>
      </c>
      <c r="O29" s="885">
        <f ca="1">'LBO - Financials'!L37</f>
        <v>0</v>
      </c>
      <c r="P29" s="950"/>
      <c r="Q29" s="951">
        <f t="shared" si="0"/>
        <v>1</v>
      </c>
      <c r="R29" s="952">
        <v>1</v>
      </c>
      <c r="S29" s="953"/>
      <c r="T29" s="953"/>
      <c r="U29" s="953"/>
      <c r="V29" s="953"/>
      <c r="W29" s="953"/>
      <c r="X29" s="953"/>
      <c r="Y29" s="953"/>
      <c r="Z29" s="953"/>
      <c r="AA29" s="953"/>
      <c r="AB29" s="953"/>
    </row>
    <row r="30" spans="1:28">
      <c r="A30" s="970"/>
      <c r="B30" s="881" t="s">
        <v>417</v>
      </c>
      <c r="C30" s="1043"/>
      <c r="D30" s="1044"/>
      <c r="E30" s="886"/>
      <c r="F30" s="886" t="s">
        <v>588</v>
      </c>
      <c r="G30" s="1045">
        <f ca="1">IFERROR('LBO - Financials'!F39,0)</f>
        <v>0</v>
      </c>
      <c r="H30" s="816"/>
      <c r="I30" s="816">
        <f t="shared" ref="I30:O30" ca="1" si="8">SUM(I24:I29)</f>
        <v>-490.5</v>
      </c>
      <c r="J30" s="816">
        <f t="shared" ca="1" si="8"/>
        <v>0</v>
      </c>
      <c r="K30" s="816">
        <f t="shared" ca="1" si="8"/>
        <v>0</v>
      </c>
      <c r="L30" s="816">
        <f t="shared" ca="1" si="8"/>
        <v>0</v>
      </c>
      <c r="M30" s="816">
        <f t="shared" ca="1" si="8"/>
        <v>0</v>
      </c>
      <c r="N30" s="816">
        <f t="shared" ca="1" si="8"/>
        <v>0</v>
      </c>
      <c r="O30" s="817">
        <f t="shared" ca="1" si="8"/>
        <v>0</v>
      </c>
      <c r="P30" s="950"/>
      <c r="Q30" s="951">
        <f t="shared" si="0"/>
        <v>1</v>
      </c>
      <c r="R30" s="952">
        <v>1</v>
      </c>
      <c r="S30" s="953"/>
      <c r="T30" s="953"/>
      <c r="U30" s="953"/>
      <c r="V30" s="953"/>
      <c r="W30" s="953"/>
      <c r="X30" s="953"/>
      <c r="Y30" s="953"/>
      <c r="Z30" s="953"/>
      <c r="AA30" s="953"/>
      <c r="AB30" s="953"/>
    </row>
    <row r="31" spans="1:28">
      <c r="A31" s="958"/>
      <c r="B31" s="995"/>
      <c r="C31" s="1046"/>
      <c r="D31" s="1046"/>
      <c r="E31" s="930"/>
      <c r="F31" s="930"/>
      <c r="G31" s="1047"/>
      <c r="H31" s="931"/>
      <c r="I31" s="931"/>
      <c r="J31" s="948" t="s">
        <v>415</v>
      </c>
      <c r="K31" s="948"/>
      <c r="L31" s="948"/>
      <c r="M31" s="948"/>
      <c r="N31" s="948"/>
      <c r="O31" s="949"/>
      <c r="P31" s="950"/>
      <c r="Q31" s="951">
        <f t="shared" si="0"/>
        <v>0</v>
      </c>
      <c r="R31" s="952">
        <v>0</v>
      </c>
      <c r="S31" s="1048"/>
      <c r="T31" s="1048"/>
      <c r="U31" s="953"/>
      <c r="V31" s="953"/>
      <c r="W31" s="953"/>
      <c r="X31" s="953"/>
      <c r="Y31" s="953"/>
      <c r="Z31" s="953"/>
      <c r="AA31" s="953"/>
      <c r="AB31" s="953"/>
    </row>
    <row r="32" spans="1:28" ht="15" thickBot="1">
      <c r="A32" s="932"/>
      <c r="B32" s="954" t="s">
        <v>421</v>
      </c>
      <c r="C32" s="955"/>
      <c r="D32" s="955"/>
      <c r="E32" s="955"/>
      <c r="F32" s="955"/>
      <c r="G32" s="955"/>
      <c r="H32" s="955"/>
      <c r="I32" s="956">
        <f>'DCF - Capital Structure'!K7</f>
        <v>2019</v>
      </c>
      <c r="J32" s="956">
        <f>'DCF - Capital Structure'!L7</f>
        <v>2020</v>
      </c>
      <c r="K32" s="956">
        <f>'DCF - Capital Structure'!M7</f>
        <v>2021</v>
      </c>
      <c r="L32" s="956">
        <f>'DCF - Capital Structure'!N7</f>
        <v>2022</v>
      </c>
      <c r="M32" s="956">
        <f>'DCF - Capital Structure'!O7</f>
        <v>2023</v>
      </c>
      <c r="N32" s="956">
        <f>'DCF - Capital Structure'!P7</f>
        <v>2024</v>
      </c>
      <c r="O32" s="957">
        <f>'DCF - Capital Structure'!Q7</f>
        <v>2025</v>
      </c>
      <c r="P32" s="953"/>
      <c r="Q32" s="951">
        <f t="shared" si="0"/>
        <v>1</v>
      </c>
      <c r="R32" s="952">
        <v>1</v>
      </c>
      <c r="S32" s="953"/>
      <c r="T32" s="953"/>
      <c r="U32" s="953"/>
      <c r="V32" s="953"/>
      <c r="W32" s="953"/>
      <c r="X32" s="953"/>
      <c r="Y32" s="953"/>
      <c r="Z32" s="953"/>
      <c r="AA32" s="953"/>
      <c r="AB32" s="953"/>
    </row>
    <row r="33" spans="1:28">
      <c r="A33" s="932"/>
      <c r="B33" s="971" t="s">
        <v>569</v>
      </c>
      <c r="C33" s="972"/>
      <c r="D33" s="972"/>
      <c r="E33" s="972"/>
      <c r="F33" s="972"/>
      <c r="G33" s="972"/>
      <c r="H33" s="972"/>
      <c r="I33" s="1029"/>
      <c r="J33" s="884">
        <f ca="1">'LBO - Financials'!G48</f>
        <v>0</v>
      </c>
      <c r="K33" s="884">
        <f ca="1">'LBO - Financials'!H48</f>
        <v>0</v>
      </c>
      <c r="L33" s="884">
        <f ca="1">'LBO - Financials'!I48</f>
        <v>0</v>
      </c>
      <c r="M33" s="884">
        <f ca="1">'LBO - Financials'!J48</f>
        <v>0</v>
      </c>
      <c r="N33" s="884">
        <f ca="1">'LBO - Financials'!K48</f>
        <v>0</v>
      </c>
      <c r="O33" s="885">
        <f ca="1">'LBO - Financials'!L48</f>
        <v>0</v>
      </c>
      <c r="P33" s="953"/>
      <c r="Q33" s="951">
        <f t="shared" si="0"/>
        <v>1</v>
      </c>
      <c r="R33" s="952">
        <v>1</v>
      </c>
      <c r="S33" s="953"/>
      <c r="T33" s="953"/>
      <c r="U33" s="953"/>
      <c r="V33" s="953"/>
      <c r="W33" s="953"/>
      <c r="X33" s="953"/>
      <c r="Y33" s="953"/>
      <c r="Z33" s="953"/>
      <c r="AA33" s="953"/>
      <c r="AB33" s="953"/>
    </row>
    <row r="34" spans="1:28">
      <c r="A34" s="970"/>
      <c r="B34" s="896" t="str">
        <f ca="1">"Junior Debt Ending Balance at "&amp;TEXT('LBO - Assumptions'!F76,"0.0%")</f>
        <v>Junior Debt Ending Balance at 0.0%</v>
      </c>
      <c r="C34" s="962"/>
      <c r="D34" s="962"/>
      <c r="E34" s="962"/>
      <c r="F34" s="962"/>
      <c r="G34" s="962"/>
      <c r="H34" s="884"/>
      <c r="I34" s="884">
        <f ca="1">'LBO - Financials'!F98</f>
        <v>0</v>
      </c>
      <c r="J34" s="884">
        <f ca="1">'LBO - Financials'!G98</f>
        <v>0</v>
      </c>
      <c r="K34" s="884">
        <f ca="1">'LBO - Financials'!H98</f>
        <v>0</v>
      </c>
      <c r="L34" s="884">
        <f ca="1">'LBO - Financials'!I98</f>
        <v>0</v>
      </c>
      <c r="M34" s="884">
        <f ca="1">'LBO - Financials'!J98</f>
        <v>0</v>
      </c>
      <c r="N34" s="884">
        <f ca="1">'LBO - Financials'!K98</f>
        <v>0</v>
      </c>
      <c r="O34" s="885">
        <f ca="1">'LBO - Financials'!L98</f>
        <v>0</v>
      </c>
      <c r="P34" s="950"/>
      <c r="Q34" s="951">
        <f t="shared" ca="1" si="0"/>
        <v>1</v>
      </c>
      <c r="R34" s="952">
        <v>1</v>
      </c>
      <c r="S34" s="960"/>
      <c r="T34" s="960"/>
      <c r="U34" s="953"/>
      <c r="V34" s="953"/>
      <c r="W34" s="953"/>
      <c r="X34" s="953"/>
      <c r="Y34" s="953"/>
      <c r="Z34" s="953"/>
      <c r="AA34" s="953"/>
      <c r="AB34" s="953"/>
    </row>
    <row r="35" spans="1:28">
      <c r="A35" s="932"/>
      <c r="B35" s="971" t="s">
        <v>567</v>
      </c>
      <c r="C35" s="972"/>
      <c r="D35" s="972"/>
      <c r="E35" s="972"/>
      <c r="F35" s="972"/>
      <c r="G35" s="972"/>
      <c r="H35" s="972"/>
      <c r="I35" s="1029"/>
      <c r="J35" s="884">
        <f ca="1">'LBO - Financials'!G52</f>
        <v>0</v>
      </c>
      <c r="K35" s="884">
        <f ca="1">'LBO - Financials'!H52</f>
        <v>0</v>
      </c>
      <c r="L35" s="884">
        <f ca="1">'LBO - Financials'!I52</f>
        <v>0</v>
      </c>
      <c r="M35" s="884">
        <f ca="1">'LBO - Financials'!J52</f>
        <v>0</v>
      </c>
      <c r="N35" s="884">
        <f ca="1">'LBO - Financials'!K52</f>
        <v>0</v>
      </c>
      <c r="O35" s="885">
        <f ca="1">'LBO - Financials'!L52</f>
        <v>0</v>
      </c>
      <c r="P35" s="953"/>
      <c r="Q35" s="951">
        <f t="shared" si="0"/>
        <v>1</v>
      </c>
      <c r="R35" s="952">
        <v>1</v>
      </c>
      <c r="S35" s="953"/>
      <c r="T35" s="953"/>
      <c r="U35" s="953"/>
      <c r="V35" s="953"/>
      <c r="W35" s="953"/>
      <c r="X35" s="953"/>
      <c r="Y35" s="953"/>
      <c r="Z35" s="953"/>
      <c r="AA35" s="953"/>
      <c r="AB35" s="953"/>
    </row>
    <row r="36" spans="1:28">
      <c r="A36" s="970"/>
      <c r="B36" s="896" t="str">
        <f ca="1">"Senior Debt Ending Balance at "&amp;TEXT('LBO - Assumptions'!F75,"0.0%")</f>
        <v>Senior Debt Ending Balance at 0.0%</v>
      </c>
      <c r="C36" s="962"/>
      <c r="D36" s="962"/>
      <c r="E36" s="962"/>
      <c r="F36" s="962"/>
      <c r="G36" s="962"/>
      <c r="H36" s="884"/>
      <c r="I36" s="884">
        <f ca="1">'LBO - Financials'!F103</f>
        <v>0</v>
      </c>
      <c r="J36" s="884">
        <f ca="1">'LBO - Financials'!G103</f>
        <v>0</v>
      </c>
      <c r="K36" s="884">
        <f ca="1">'LBO - Financials'!H103</f>
        <v>0</v>
      </c>
      <c r="L36" s="884">
        <f ca="1">'LBO - Financials'!I103</f>
        <v>0</v>
      </c>
      <c r="M36" s="884">
        <f ca="1">'LBO - Financials'!J103</f>
        <v>0</v>
      </c>
      <c r="N36" s="884">
        <f ca="1">'LBO - Financials'!K103</f>
        <v>0</v>
      </c>
      <c r="O36" s="885">
        <f ca="1">'LBO - Financials'!L103</f>
        <v>0</v>
      </c>
      <c r="P36" s="950"/>
      <c r="Q36" s="951">
        <f t="shared" ca="1" si="0"/>
        <v>1</v>
      </c>
      <c r="R36" s="952">
        <v>1</v>
      </c>
      <c r="S36" s="960"/>
      <c r="T36" s="960"/>
      <c r="U36" s="953"/>
      <c r="V36" s="953"/>
      <c r="W36" s="953"/>
      <c r="X36" s="953"/>
      <c r="Y36" s="953"/>
      <c r="Z36" s="953"/>
      <c r="AA36" s="953"/>
      <c r="AB36" s="953"/>
    </row>
    <row r="37" spans="1:28">
      <c r="A37" s="970"/>
      <c r="B37" s="896" t="s">
        <v>571</v>
      </c>
      <c r="C37" s="962"/>
      <c r="D37" s="962"/>
      <c r="E37" s="962"/>
      <c r="F37" s="962"/>
      <c r="G37" s="962"/>
      <c r="H37" s="884"/>
      <c r="I37" s="884"/>
      <c r="J37" s="884">
        <f ca="1">'LBO - Financials'!G56</f>
        <v>0</v>
      </c>
      <c r="K37" s="884">
        <f ca="1">'LBO - Financials'!H56</f>
        <v>0</v>
      </c>
      <c r="L37" s="884">
        <f ca="1">'LBO - Financials'!I56</f>
        <v>0</v>
      </c>
      <c r="M37" s="884">
        <f ca="1">'LBO - Financials'!J56</f>
        <v>0</v>
      </c>
      <c r="N37" s="884">
        <f ca="1">'LBO - Financials'!K56</f>
        <v>0</v>
      </c>
      <c r="O37" s="885">
        <f ca="1">'LBO - Financials'!L56</f>
        <v>0</v>
      </c>
      <c r="P37" s="950"/>
      <c r="Q37" s="951">
        <f t="shared" si="0"/>
        <v>1</v>
      </c>
      <c r="R37" s="952">
        <v>1</v>
      </c>
      <c r="S37" s="960"/>
      <c r="T37" s="960"/>
      <c r="U37" s="953"/>
      <c r="V37" s="953"/>
      <c r="W37" s="953"/>
      <c r="X37" s="953"/>
      <c r="Y37" s="953"/>
      <c r="Z37" s="953"/>
      <c r="AA37" s="953"/>
      <c r="AB37" s="953"/>
    </row>
    <row r="38" spans="1:28">
      <c r="A38" s="970"/>
      <c r="B38" s="896" t="str">
        <f ca="1">"Revolver Debt Ending Balance at "&amp;TEXT('LBO - Assumptions'!F77,"0.0%")</f>
        <v>Revolver Debt Ending Balance at 0.0%</v>
      </c>
      <c r="C38" s="962"/>
      <c r="D38" s="962"/>
      <c r="E38" s="962"/>
      <c r="F38" s="962"/>
      <c r="G38" s="962"/>
      <c r="H38" s="884"/>
      <c r="I38" s="884">
        <f ca="1">'LBO - Financials'!F108</f>
        <v>0</v>
      </c>
      <c r="J38" s="884">
        <f ca="1">'LBO - Financials'!G108</f>
        <v>0</v>
      </c>
      <c r="K38" s="884">
        <f ca="1">'LBO - Financials'!H108</f>
        <v>0</v>
      </c>
      <c r="L38" s="884">
        <f ca="1">'LBO - Financials'!I108</f>
        <v>0</v>
      </c>
      <c r="M38" s="884">
        <f ca="1">'LBO - Financials'!J108</f>
        <v>0</v>
      </c>
      <c r="N38" s="884">
        <f ca="1">'LBO - Financials'!K108</f>
        <v>0</v>
      </c>
      <c r="O38" s="885">
        <f ca="1">'LBO - Financials'!L108</f>
        <v>0</v>
      </c>
      <c r="P38" s="950"/>
      <c r="Q38" s="951">
        <f t="shared" ca="1" si="0"/>
        <v>1</v>
      </c>
      <c r="R38" s="952">
        <v>1</v>
      </c>
      <c r="S38" s="960"/>
      <c r="T38" s="960"/>
      <c r="U38" s="953"/>
      <c r="V38" s="953"/>
      <c r="W38" s="953"/>
      <c r="X38" s="953"/>
      <c r="Y38" s="953"/>
      <c r="Z38" s="953"/>
      <c r="AA38" s="953"/>
      <c r="AB38" s="953"/>
    </row>
    <row r="39" spans="1:28">
      <c r="A39" s="970"/>
      <c r="B39" s="896" t="s">
        <v>574</v>
      </c>
      <c r="C39" s="962"/>
      <c r="D39" s="962"/>
      <c r="E39" s="962"/>
      <c r="F39" s="962"/>
      <c r="G39" s="962"/>
      <c r="H39" s="884"/>
      <c r="I39" s="884"/>
      <c r="J39" s="884">
        <f ca="1">'LBO - Financials'!G60</f>
        <v>0</v>
      </c>
      <c r="K39" s="884">
        <f ca="1">'LBO - Financials'!H60</f>
        <v>0</v>
      </c>
      <c r="L39" s="884">
        <f ca="1">'LBO - Financials'!I60</f>
        <v>0</v>
      </c>
      <c r="M39" s="884">
        <f ca="1">'LBO - Financials'!J60</f>
        <v>0</v>
      </c>
      <c r="N39" s="884">
        <f ca="1">'LBO - Financials'!K60</f>
        <v>0</v>
      </c>
      <c r="O39" s="885">
        <f ca="1">'LBO - Financials'!L60</f>
        <v>0</v>
      </c>
      <c r="P39" s="950"/>
      <c r="Q39" s="951">
        <f t="shared" si="0"/>
        <v>1</v>
      </c>
      <c r="R39" s="952">
        <v>1</v>
      </c>
      <c r="S39" s="960"/>
      <c r="T39" s="960"/>
      <c r="U39" s="953"/>
      <c r="V39" s="953"/>
      <c r="W39" s="953"/>
      <c r="X39" s="953"/>
      <c r="Y39" s="953"/>
      <c r="Z39" s="953"/>
      <c r="AA39" s="953"/>
      <c r="AB39" s="953"/>
    </row>
    <row r="40" spans="1:28">
      <c r="A40" s="970"/>
      <c r="B40" s="896" t="str">
        <f ca="1">"Assumed Debt Ending Balance at "&amp;TEXT('LBO - Assumptions'!F78,"0.0%")</f>
        <v>Assumed Debt Ending Balance at 0.0%</v>
      </c>
      <c r="C40" s="962"/>
      <c r="D40" s="962"/>
      <c r="E40" s="962"/>
      <c r="F40" s="962"/>
      <c r="G40" s="962"/>
      <c r="H40" s="884"/>
      <c r="I40" s="884">
        <f ca="1">'LBO - Financials'!F113</f>
        <v>0</v>
      </c>
      <c r="J40" s="884">
        <f ca="1">'LBO - Financials'!G113</f>
        <v>0</v>
      </c>
      <c r="K40" s="884">
        <f ca="1">'LBO - Financials'!H113</f>
        <v>0</v>
      </c>
      <c r="L40" s="884">
        <f ca="1">'LBO - Financials'!I113</f>
        <v>0</v>
      </c>
      <c r="M40" s="884">
        <f ca="1">'LBO - Financials'!J113</f>
        <v>0</v>
      </c>
      <c r="N40" s="884">
        <f ca="1">'LBO - Financials'!K113</f>
        <v>0</v>
      </c>
      <c r="O40" s="885">
        <f ca="1">'LBO - Financials'!L113</f>
        <v>0</v>
      </c>
      <c r="P40" s="950"/>
      <c r="Q40" s="951">
        <f t="shared" ca="1" si="0"/>
        <v>1</v>
      </c>
      <c r="R40" s="952">
        <v>1</v>
      </c>
      <c r="S40" s="960"/>
      <c r="T40" s="960"/>
      <c r="U40" s="953"/>
      <c r="V40" s="953"/>
      <c r="W40" s="953"/>
      <c r="X40" s="953"/>
      <c r="Y40" s="953"/>
      <c r="Z40" s="953"/>
      <c r="AA40" s="953"/>
      <c r="AB40" s="953"/>
    </row>
    <row r="41" spans="1:28">
      <c r="A41" s="970"/>
      <c r="B41" s="881" t="s">
        <v>578</v>
      </c>
      <c r="C41" s="886"/>
      <c r="D41" s="886"/>
      <c r="E41" s="886"/>
      <c r="F41" s="886"/>
      <c r="G41" s="886"/>
      <c r="H41" s="816"/>
      <c r="I41" s="816">
        <f t="shared" ref="I41:O41" ca="1" si="9">SUM(I36:I40)</f>
        <v>0</v>
      </c>
      <c r="J41" s="816">
        <f t="shared" ca="1" si="9"/>
        <v>0</v>
      </c>
      <c r="K41" s="816">
        <f t="shared" ca="1" si="9"/>
        <v>0</v>
      </c>
      <c r="L41" s="816">
        <f t="shared" ca="1" si="9"/>
        <v>0</v>
      </c>
      <c r="M41" s="816">
        <f t="shared" ca="1" si="9"/>
        <v>0</v>
      </c>
      <c r="N41" s="816">
        <f t="shared" ca="1" si="9"/>
        <v>0</v>
      </c>
      <c r="O41" s="817">
        <f t="shared" ca="1" si="9"/>
        <v>0</v>
      </c>
      <c r="P41" s="950"/>
      <c r="Q41" s="951">
        <f t="shared" si="0"/>
        <v>1</v>
      </c>
      <c r="R41" s="952">
        <v>1</v>
      </c>
      <c r="S41" s="960"/>
      <c r="T41" s="960"/>
      <c r="U41" s="953"/>
      <c r="V41" s="953"/>
      <c r="W41" s="953"/>
      <c r="X41" s="953"/>
      <c r="Y41" s="953"/>
      <c r="Z41" s="953"/>
      <c r="AA41" s="953"/>
      <c r="AB41" s="953"/>
    </row>
    <row r="42" spans="1:28" ht="3" customHeight="1">
      <c r="A42" s="970"/>
      <c r="B42" s="961"/>
      <c r="C42" s="1003"/>
      <c r="D42" s="1003"/>
      <c r="E42" s="1003"/>
      <c r="F42" s="1003"/>
      <c r="G42" s="1003"/>
      <c r="H42" s="897"/>
      <c r="I42" s="897"/>
      <c r="J42" s="897"/>
      <c r="K42" s="897"/>
      <c r="L42" s="897"/>
      <c r="M42" s="897"/>
      <c r="N42" s="897"/>
      <c r="O42" s="898"/>
      <c r="P42" s="950"/>
      <c r="Q42" s="951">
        <f t="shared" si="0"/>
        <v>0</v>
      </c>
      <c r="R42" s="952">
        <v>0</v>
      </c>
      <c r="S42" s="960"/>
      <c r="T42" s="960"/>
      <c r="U42" s="953"/>
      <c r="V42" s="953"/>
      <c r="W42" s="953"/>
      <c r="X42" s="953"/>
      <c r="Y42" s="953"/>
      <c r="Z42" s="953"/>
      <c r="AA42" s="953"/>
      <c r="AB42" s="953"/>
    </row>
    <row r="43" spans="1:28">
      <c r="A43" s="958"/>
      <c r="B43" s="813" t="s">
        <v>406</v>
      </c>
      <c r="C43" s="930"/>
      <c r="D43" s="1049"/>
      <c r="E43" s="930"/>
      <c r="F43" s="930"/>
      <c r="G43" s="930"/>
      <c r="H43" s="1050"/>
      <c r="I43" s="1051" t="str">
        <f t="shared" ref="I43:O45" ca="1" si="10">I68</f>
        <v>NM</v>
      </c>
      <c r="J43" s="1051" t="str">
        <f t="shared" ca="1" si="10"/>
        <v>NM</v>
      </c>
      <c r="K43" s="1051" t="str">
        <f t="shared" ca="1" si="10"/>
        <v>NM</v>
      </c>
      <c r="L43" s="1051" t="str">
        <f t="shared" ca="1" si="10"/>
        <v>NM</v>
      </c>
      <c r="M43" s="1051" t="str">
        <f t="shared" ca="1" si="10"/>
        <v>NM</v>
      </c>
      <c r="N43" s="1051" t="str">
        <f t="shared" ca="1" si="10"/>
        <v>NM</v>
      </c>
      <c r="O43" s="1052" t="str">
        <f t="shared" ca="1" si="10"/>
        <v>NM</v>
      </c>
      <c r="P43" s="950"/>
      <c r="Q43" s="951">
        <f t="shared" si="0"/>
        <v>1</v>
      </c>
      <c r="R43" s="952">
        <v>1</v>
      </c>
      <c r="S43" s="940"/>
      <c r="T43" s="940"/>
      <c r="U43" s="953"/>
      <c r="V43" s="953"/>
      <c r="W43" s="953"/>
      <c r="X43" s="953"/>
      <c r="Y43" s="953"/>
      <c r="Z43" s="953"/>
      <c r="AA43" s="953"/>
      <c r="AB43" s="953"/>
    </row>
    <row r="44" spans="1:28">
      <c r="A44" s="970"/>
      <c r="B44" s="813" t="str">
        <f>B69</f>
        <v xml:space="preserve">Cashflows for Debt Service / Total Interest Expense </v>
      </c>
      <c r="C44" s="930"/>
      <c r="D44" s="1049"/>
      <c r="E44" s="930"/>
      <c r="F44" s="1049"/>
      <c r="G44" s="930"/>
      <c r="H44" s="931"/>
      <c r="I44" s="1051">
        <f t="shared" si="10"/>
        <v>0</v>
      </c>
      <c r="J44" s="1051" t="str">
        <f t="shared" ca="1" si="10"/>
        <v>NM</v>
      </c>
      <c r="K44" s="1051" t="str">
        <f t="shared" ca="1" si="10"/>
        <v>NM</v>
      </c>
      <c r="L44" s="1051" t="str">
        <f t="shared" ca="1" si="10"/>
        <v>NM</v>
      </c>
      <c r="M44" s="1051" t="str">
        <f t="shared" ca="1" si="10"/>
        <v>NM</v>
      </c>
      <c r="N44" s="1051" t="str">
        <f t="shared" ca="1" si="10"/>
        <v>NM</v>
      </c>
      <c r="O44" s="1052" t="str">
        <f t="shared" ca="1" si="10"/>
        <v>NM</v>
      </c>
      <c r="P44" s="950"/>
      <c r="Q44" s="951">
        <f t="shared" si="0"/>
        <v>1</v>
      </c>
      <c r="R44" s="952">
        <v>1</v>
      </c>
      <c r="S44" s="960"/>
      <c r="T44" s="960"/>
      <c r="U44" s="953"/>
      <c r="V44" s="953"/>
      <c r="W44" s="953"/>
      <c r="X44" s="953"/>
      <c r="Y44" s="953"/>
      <c r="Z44" s="953"/>
      <c r="AA44" s="953"/>
      <c r="AB44" s="953"/>
    </row>
    <row r="45" spans="1:28">
      <c r="A45" s="958"/>
      <c r="B45" s="1053" t="str">
        <f>B70</f>
        <v>Cashflows for Debt Service / Senior Interest Expense</v>
      </c>
      <c r="C45" s="1054"/>
      <c r="D45" s="1055"/>
      <c r="E45" s="1054"/>
      <c r="F45" s="1055"/>
      <c r="G45" s="1054"/>
      <c r="H45" s="1056"/>
      <c r="I45" s="1057">
        <f t="shared" si="10"/>
        <v>0</v>
      </c>
      <c r="J45" s="1057" t="str">
        <f t="shared" ca="1" si="10"/>
        <v>NM</v>
      </c>
      <c r="K45" s="1057" t="str">
        <f t="shared" ca="1" si="10"/>
        <v>NM</v>
      </c>
      <c r="L45" s="1057" t="str">
        <f t="shared" ca="1" si="10"/>
        <v>NM</v>
      </c>
      <c r="M45" s="1057" t="str">
        <f t="shared" ca="1" si="10"/>
        <v>NM</v>
      </c>
      <c r="N45" s="1057" t="str">
        <f t="shared" ca="1" si="10"/>
        <v>NM</v>
      </c>
      <c r="O45" s="1058" t="str">
        <f t="shared" ca="1" si="10"/>
        <v>NM</v>
      </c>
      <c r="P45" s="950"/>
      <c r="Q45" s="951">
        <f t="shared" si="0"/>
        <v>1</v>
      </c>
      <c r="R45" s="952">
        <v>1</v>
      </c>
      <c r="S45" s="940"/>
      <c r="T45" s="940"/>
      <c r="U45" s="953"/>
      <c r="V45" s="953"/>
      <c r="W45" s="953"/>
      <c r="X45" s="953"/>
      <c r="Y45" s="953"/>
      <c r="Z45" s="953"/>
      <c r="AA45" s="953"/>
      <c r="AB45" s="953"/>
    </row>
    <row r="46" spans="1:28">
      <c r="A46" s="958"/>
      <c r="B46" s="940"/>
      <c r="C46" s="940"/>
      <c r="D46" s="940"/>
      <c r="E46" s="940"/>
      <c r="F46" s="940"/>
      <c r="G46" s="940"/>
      <c r="H46" s="940"/>
      <c r="I46" s="940"/>
      <c r="J46" s="940"/>
      <c r="K46" s="940"/>
      <c r="L46" s="940"/>
      <c r="M46" s="940"/>
      <c r="N46" s="940"/>
      <c r="O46" s="940"/>
      <c r="P46" s="950"/>
      <c r="Q46" s="951">
        <f t="shared" si="0"/>
        <v>0</v>
      </c>
      <c r="R46" s="952">
        <v>0</v>
      </c>
      <c r="S46" s="940"/>
      <c r="T46" s="940"/>
      <c r="U46" s="953"/>
      <c r="V46" s="953"/>
      <c r="W46" s="953"/>
      <c r="X46" s="953"/>
      <c r="Y46" s="953"/>
      <c r="Z46" s="953"/>
      <c r="AA46" s="953"/>
      <c r="AB46" s="953"/>
    </row>
    <row r="47" spans="1:28">
      <c r="A47" s="970"/>
      <c r="B47" s="758" t="s">
        <v>416</v>
      </c>
      <c r="C47" s="759"/>
      <c r="D47" s="760"/>
      <c r="E47" s="760"/>
      <c r="F47" s="760"/>
      <c r="G47" s="760"/>
      <c r="H47" s="760"/>
      <c r="I47" s="760"/>
      <c r="J47" s="760"/>
      <c r="K47" s="760"/>
      <c r="L47" s="760"/>
      <c r="M47" s="760"/>
      <c r="N47" s="760"/>
      <c r="O47" s="761"/>
      <c r="P47" s="950"/>
      <c r="Q47" s="951">
        <f t="shared" si="0"/>
        <v>1</v>
      </c>
      <c r="R47" s="952">
        <v>1</v>
      </c>
      <c r="S47" s="953"/>
      <c r="T47" s="953"/>
      <c r="U47" s="953"/>
      <c r="V47" s="953"/>
      <c r="W47" s="953"/>
      <c r="X47" s="953"/>
      <c r="Y47" s="953"/>
      <c r="Z47" s="953"/>
      <c r="AA47" s="953"/>
      <c r="AB47" s="953"/>
    </row>
    <row r="48" spans="1:28">
      <c r="A48" s="932"/>
      <c r="B48" s="862"/>
      <c r="C48" s="863"/>
      <c r="D48" s="863"/>
      <c r="E48" s="863"/>
      <c r="F48" s="863"/>
      <c r="G48" s="863"/>
      <c r="H48" s="863"/>
      <c r="I48" s="863"/>
      <c r="J48" s="948" t="s">
        <v>415</v>
      </c>
      <c r="K48" s="948"/>
      <c r="L48" s="948"/>
      <c r="M48" s="948"/>
      <c r="N48" s="948"/>
      <c r="O48" s="949"/>
      <c r="P48" s="950"/>
      <c r="Q48" s="951">
        <f t="shared" si="0"/>
        <v>0</v>
      </c>
      <c r="R48" s="952">
        <v>0</v>
      </c>
      <c r="S48" s="953"/>
      <c r="T48" s="953"/>
      <c r="U48" s="953"/>
      <c r="V48" s="953"/>
      <c r="W48" s="953"/>
      <c r="X48" s="953"/>
      <c r="Y48" s="953"/>
      <c r="Z48" s="953"/>
      <c r="AA48" s="953"/>
      <c r="AB48" s="953"/>
    </row>
    <row r="49" spans="1:28" ht="15" thickBot="1">
      <c r="A49" s="932"/>
      <c r="B49" s="954" t="s">
        <v>28</v>
      </c>
      <c r="C49" s="955"/>
      <c r="D49" s="955">
        <f>'DCF - Capital Structure'!F7</f>
        <v>2014</v>
      </c>
      <c r="E49" s="955">
        <f>'DCF - Capital Structure'!G7</f>
        <v>2015</v>
      </c>
      <c r="F49" s="955">
        <f>'DCF - Capital Structure'!H7</f>
        <v>2016</v>
      </c>
      <c r="G49" s="955">
        <f>'DCF - Capital Structure'!I7</f>
        <v>2017</v>
      </c>
      <c r="H49" s="955">
        <f>'DCF - Capital Structure'!J7</f>
        <v>2018</v>
      </c>
      <c r="I49" s="956">
        <f>'DCF - Capital Structure'!K7</f>
        <v>2019</v>
      </c>
      <c r="J49" s="956">
        <f>'DCF - Capital Structure'!L7</f>
        <v>2020</v>
      </c>
      <c r="K49" s="956">
        <f>'DCF - Capital Structure'!M7</f>
        <v>2021</v>
      </c>
      <c r="L49" s="956">
        <f>'DCF - Capital Structure'!N7</f>
        <v>2022</v>
      </c>
      <c r="M49" s="956">
        <f>'DCF - Capital Structure'!O7</f>
        <v>2023</v>
      </c>
      <c r="N49" s="956">
        <f>'DCF - Capital Structure'!P7</f>
        <v>2024</v>
      </c>
      <c r="O49" s="957">
        <f>'DCF - Capital Structure'!Q7</f>
        <v>2025</v>
      </c>
      <c r="P49" s="950"/>
      <c r="Q49" s="951">
        <f t="shared" si="0"/>
        <v>1</v>
      </c>
      <c r="R49" s="952">
        <v>1</v>
      </c>
      <c r="S49" s="953"/>
      <c r="T49" s="953"/>
      <c r="U49" s="953"/>
      <c r="V49" s="953"/>
      <c r="W49" s="953"/>
      <c r="X49" s="953"/>
      <c r="Y49" s="953"/>
      <c r="Z49" s="953"/>
      <c r="AA49" s="953"/>
      <c r="AB49" s="953"/>
    </row>
    <row r="50" spans="1:28">
      <c r="A50" s="932"/>
      <c r="B50" s="971" t="s">
        <v>533</v>
      </c>
      <c r="C50" s="972"/>
      <c r="D50" s="879">
        <f>'DCF - Financials'!F12</f>
        <v>4806.2259999999997</v>
      </c>
      <c r="E50" s="879">
        <f>'DCF - Financials'!G12</f>
        <v>4191.6000000000004</v>
      </c>
      <c r="F50" s="879">
        <f>'DCF - Financials'!H12</f>
        <v>4491.8</v>
      </c>
      <c r="G50" s="879">
        <f>'DCF - Financials'!I12</f>
        <v>4488.3</v>
      </c>
      <c r="H50" s="879">
        <f>'DCF - Financials'!J12</f>
        <v>5880</v>
      </c>
      <c r="I50" s="879">
        <f>'DCF - Financials'!K12</f>
        <v>0</v>
      </c>
      <c r="J50" s="838">
        <f>'DCF - Financials'!L12</f>
        <v>0</v>
      </c>
      <c r="K50" s="838">
        <f>'DCF - Financials'!M12</f>
        <v>0</v>
      </c>
      <c r="L50" s="838">
        <f>'DCF - Financials'!N12</f>
        <v>0</v>
      </c>
      <c r="M50" s="838">
        <f>'DCF - Financials'!O12</f>
        <v>0</v>
      </c>
      <c r="N50" s="838">
        <f>'DCF - Financials'!P12</f>
        <v>0</v>
      </c>
      <c r="O50" s="964">
        <f>'DCF - Financials'!Q12</f>
        <v>0</v>
      </c>
      <c r="P50" s="950"/>
      <c r="Q50" s="951">
        <f t="shared" si="0"/>
        <v>1</v>
      </c>
      <c r="R50" s="952">
        <v>1</v>
      </c>
      <c r="S50" s="953"/>
      <c r="T50" s="953"/>
      <c r="U50" s="953"/>
      <c r="V50" s="953"/>
      <c r="W50" s="953"/>
      <c r="X50" s="953"/>
      <c r="Y50" s="953"/>
      <c r="Z50" s="953"/>
      <c r="AA50" s="953"/>
      <c r="AB50" s="953"/>
    </row>
    <row r="51" spans="1:28">
      <c r="A51" s="932"/>
      <c r="B51" s="971" t="s">
        <v>526</v>
      </c>
      <c r="C51" s="973"/>
      <c r="D51" s="879">
        <v>0</v>
      </c>
      <c r="E51" s="879">
        <v>0</v>
      </c>
      <c r="F51" s="879">
        <v>0</v>
      </c>
      <c r="G51" s="879">
        <v>0</v>
      </c>
      <c r="H51" s="879">
        <v>0</v>
      </c>
      <c r="I51" s="879">
        <v>0</v>
      </c>
      <c r="J51" s="838">
        <f ca="1">'LBO - Financials'!G72</f>
        <v>0</v>
      </c>
      <c r="K51" s="838">
        <f ca="1">'LBO - Financials'!H72</f>
        <v>0</v>
      </c>
      <c r="L51" s="838">
        <f ca="1">'LBO - Financials'!I72</f>
        <v>0</v>
      </c>
      <c r="M51" s="838">
        <f ca="1">'LBO - Financials'!J72</f>
        <v>0</v>
      </c>
      <c r="N51" s="838">
        <f ca="1">'LBO - Financials'!K72</f>
        <v>0</v>
      </c>
      <c r="O51" s="964">
        <f ca="1">'LBO - Financials'!L72</f>
        <v>0</v>
      </c>
      <c r="P51" s="950"/>
      <c r="Q51" s="951">
        <f t="shared" si="0"/>
        <v>1</v>
      </c>
      <c r="R51" s="952">
        <v>1</v>
      </c>
      <c r="S51" s="953"/>
      <c r="T51" s="953"/>
      <c r="U51" s="953"/>
      <c r="V51" s="953"/>
      <c r="W51" s="953"/>
      <c r="X51" s="953"/>
      <c r="Y51" s="953"/>
      <c r="Z51" s="953"/>
      <c r="AA51" s="953"/>
      <c r="AB51" s="953"/>
    </row>
    <row r="52" spans="1:28">
      <c r="A52" s="932"/>
      <c r="B52" s="974" t="s">
        <v>528</v>
      </c>
      <c r="C52" s="975"/>
      <c r="D52" s="976">
        <f>'DCF - Financials'!F12</f>
        <v>4806.2259999999997</v>
      </c>
      <c r="E52" s="976">
        <f>'DCF - Financials'!G12</f>
        <v>4191.6000000000004</v>
      </c>
      <c r="F52" s="976">
        <f>'DCF - Financials'!H12</f>
        <v>4491.8</v>
      </c>
      <c r="G52" s="976">
        <f>'DCF - Financials'!I12</f>
        <v>4488.3</v>
      </c>
      <c r="H52" s="976">
        <f>'DCF - Financials'!J12</f>
        <v>5880</v>
      </c>
      <c r="I52" s="976">
        <f>'DCF - Financials'!K12</f>
        <v>0</v>
      </c>
      <c r="J52" s="976">
        <f ca="1">'LBO - Financials'!G73</f>
        <v>0</v>
      </c>
      <c r="K52" s="976">
        <f ca="1">'LBO - Financials'!H73</f>
        <v>0</v>
      </c>
      <c r="L52" s="976">
        <f ca="1">'LBO - Financials'!I73</f>
        <v>0</v>
      </c>
      <c r="M52" s="976">
        <f ca="1">'LBO - Financials'!J73</f>
        <v>0</v>
      </c>
      <c r="N52" s="976">
        <f ca="1">'LBO - Financials'!K73</f>
        <v>0</v>
      </c>
      <c r="O52" s="977">
        <f ca="1">'LBO - Financials'!L73</f>
        <v>0</v>
      </c>
      <c r="P52" s="978"/>
      <c r="Q52" s="951">
        <f t="shared" si="0"/>
        <v>1</v>
      </c>
      <c r="R52" s="952">
        <v>1</v>
      </c>
      <c r="S52" s="932"/>
      <c r="T52" s="932"/>
      <c r="U52" s="953"/>
      <c r="V52" s="953"/>
      <c r="W52" s="953"/>
      <c r="X52" s="953"/>
      <c r="Y52" s="953"/>
      <c r="Z52" s="953"/>
      <c r="AA52" s="953"/>
      <c r="AB52" s="953"/>
    </row>
    <row r="53" spans="1:28">
      <c r="A53" s="932"/>
      <c r="B53" s="979" t="s">
        <v>414</v>
      </c>
      <c r="C53" s="804"/>
      <c r="D53" s="980"/>
      <c r="E53" s="980">
        <f t="shared" ref="E53:O53" si="11">IFERROR(E52/D52-1,0)</f>
        <v>-0.12788121074622782</v>
      </c>
      <c r="F53" s="980">
        <f t="shared" si="11"/>
        <v>7.1619429334860207E-2</v>
      </c>
      <c r="G53" s="980">
        <f t="shared" si="11"/>
        <v>-7.7919764904932354E-4</v>
      </c>
      <c r="H53" s="980">
        <f t="shared" si="11"/>
        <v>0.31007285609250723</v>
      </c>
      <c r="I53" s="981">
        <f t="shared" si="11"/>
        <v>-1</v>
      </c>
      <c r="J53" s="981">
        <f t="shared" ca="1" si="11"/>
        <v>0</v>
      </c>
      <c r="K53" s="981">
        <f t="shared" ca="1" si="11"/>
        <v>0</v>
      </c>
      <c r="L53" s="981">
        <f t="shared" ca="1" si="11"/>
        <v>0</v>
      </c>
      <c r="M53" s="981">
        <f t="shared" ca="1" si="11"/>
        <v>0</v>
      </c>
      <c r="N53" s="981">
        <f t="shared" ca="1" si="11"/>
        <v>0</v>
      </c>
      <c r="O53" s="982">
        <f t="shared" ca="1" si="11"/>
        <v>0</v>
      </c>
      <c r="P53" s="950"/>
      <c r="Q53" s="951">
        <f t="shared" si="0"/>
        <v>1</v>
      </c>
      <c r="R53" s="952">
        <v>1</v>
      </c>
      <c r="S53" s="932"/>
      <c r="T53" s="932"/>
      <c r="U53" s="953"/>
      <c r="V53" s="953"/>
      <c r="W53" s="953"/>
      <c r="X53" s="953"/>
      <c r="Y53" s="953"/>
      <c r="Z53" s="953"/>
      <c r="AA53" s="953"/>
      <c r="AB53" s="953"/>
    </row>
    <row r="54" spans="1:28">
      <c r="A54" s="932"/>
      <c r="B54" s="803" t="s">
        <v>539</v>
      </c>
      <c r="C54" s="804"/>
      <c r="D54" s="879">
        <f>'DCF - Financials'!F35</f>
        <v>1501.2739999999997</v>
      </c>
      <c r="E54" s="879">
        <f>'DCF - Financials'!G35</f>
        <v>964.00000000000045</v>
      </c>
      <c r="F54" s="879">
        <f>'DCF - Financials'!H35</f>
        <v>977.60000000000059</v>
      </c>
      <c r="G54" s="879">
        <f>'DCF - Financials'!I35</f>
        <v>1086.0999999999999</v>
      </c>
      <c r="H54" s="879">
        <f>'DCF - Financials'!J35</f>
        <v>1147.3000000000002</v>
      </c>
      <c r="I54" s="879">
        <f>'DCF - Financials'!K35</f>
        <v>0</v>
      </c>
      <c r="J54" s="838">
        <f>'LBO - Financials'!G85</f>
        <v>0</v>
      </c>
      <c r="K54" s="838">
        <f>'LBO - Financials'!H85</f>
        <v>0</v>
      </c>
      <c r="L54" s="838">
        <f>'LBO - Financials'!I85</f>
        <v>0</v>
      </c>
      <c r="M54" s="838">
        <f>'LBO - Financials'!J85</f>
        <v>0</v>
      </c>
      <c r="N54" s="838">
        <f>'LBO - Financials'!K85</f>
        <v>0</v>
      </c>
      <c r="O54" s="964">
        <f>'LBO - Financials'!L85</f>
        <v>0</v>
      </c>
      <c r="P54" s="950"/>
      <c r="Q54" s="951">
        <f t="shared" si="0"/>
        <v>1</v>
      </c>
      <c r="R54" s="952">
        <v>1</v>
      </c>
      <c r="S54" s="932"/>
      <c r="T54" s="932"/>
      <c r="U54" s="953"/>
      <c r="V54" s="953"/>
      <c r="W54" s="953"/>
      <c r="X54" s="953"/>
      <c r="Y54" s="953"/>
      <c r="Z54" s="953"/>
      <c r="AA54" s="953"/>
      <c r="AB54" s="953"/>
    </row>
    <row r="55" spans="1:28">
      <c r="A55" s="932"/>
      <c r="B55" s="803" t="s">
        <v>602</v>
      </c>
      <c r="C55" s="804"/>
      <c r="D55" s="879">
        <v>0</v>
      </c>
      <c r="E55" s="879">
        <v>0</v>
      </c>
      <c r="F55" s="879">
        <v>0</v>
      </c>
      <c r="G55" s="879">
        <v>0</v>
      </c>
      <c r="H55" s="879">
        <v>0</v>
      </c>
      <c r="I55" s="879">
        <v>0</v>
      </c>
      <c r="J55" s="838">
        <f ca="1">'LBO - Financials'!G89</f>
        <v>0</v>
      </c>
      <c r="K55" s="838">
        <f ca="1">'LBO - Financials'!H89</f>
        <v>0</v>
      </c>
      <c r="L55" s="838">
        <f ca="1">'LBO - Financials'!I89</f>
        <v>0</v>
      </c>
      <c r="M55" s="838">
        <f ca="1">'LBO - Financials'!J89</f>
        <v>0</v>
      </c>
      <c r="N55" s="838">
        <f ca="1">'LBO - Financials'!K89</f>
        <v>0</v>
      </c>
      <c r="O55" s="964">
        <f ca="1">'LBO - Financials'!L89</f>
        <v>0</v>
      </c>
      <c r="P55" s="950"/>
      <c r="Q55" s="951">
        <f t="shared" si="0"/>
        <v>1</v>
      </c>
      <c r="R55" s="952">
        <v>1</v>
      </c>
      <c r="S55" s="932"/>
      <c r="T55" s="932"/>
      <c r="U55" s="953"/>
      <c r="V55" s="953"/>
      <c r="W55" s="953"/>
      <c r="X55" s="953"/>
      <c r="Y55" s="953"/>
      <c r="Z55" s="953"/>
      <c r="AA55" s="953"/>
      <c r="AB55" s="953"/>
    </row>
    <row r="56" spans="1:28">
      <c r="A56" s="932"/>
      <c r="B56" s="974" t="s">
        <v>540</v>
      </c>
      <c r="C56" s="975"/>
      <c r="D56" s="976">
        <f>'DCF - Financials'!F35</f>
        <v>1501.2739999999997</v>
      </c>
      <c r="E56" s="976">
        <f>'DCF - Financials'!G35</f>
        <v>964.00000000000045</v>
      </c>
      <c r="F56" s="976">
        <f>'DCF - Financials'!H35</f>
        <v>977.60000000000059</v>
      </c>
      <c r="G56" s="976">
        <f>'DCF - Financials'!I35</f>
        <v>1086.0999999999999</v>
      </c>
      <c r="H56" s="976">
        <f>'DCF - Financials'!J35</f>
        <v>1147.3000000000002</v>
      </c>
      <c r="I56" s="976">
        <f>'DCF - Financials'!K35</f>
        <v>0</v>
      </c>
      <c r="J56" s="976">
        <f ca="1">'LBO - Financials'!G88</f>
        <v>0</v>
      </c>
      <c r="K56" s="976">
        <f ca="1">'LBO - Financials'!H88</f>
        <v>0</v>
      </c>
      <c r="L56" s="976">
        <f ca="1">'LBO - Financials'!I88</f>
        <v>0</v>
      </c>
      <c r="M56" s="976">
        <f ca="1">'LBO - Financials'!J88</f>
        <v>0</v>
      </c>
      <c r="N56" s="976">
        <f ca="1">'LBO - Financials'!K88</f>
        <v>0</v>
      </c>
      <c r="O56" s="977">
        <f ca="1">'LBO - Financials'!L88</f>
        <v>0</v>
      </c>
      <c r="P56" s="950"/>
      <c r="Q56" s="951">
        <f t="shared" si="0"/>
        <v>1</v>
      </c>
      <c r="R56" s="952">
        <v>1</v>
      </c>
      <c r="S56" s="932"/>
      <c r="T56" s="932"/>
      <c r="U56" s="953"/>
      <c r="V56" s="953"/>
      <c r="W56" s="953"/>
      <c r="X56" s="953"/>
      <c r="Y56" s="953"/>
      <c r="Z56" s="953"/>
      <c r="AA56" s="953"/>
      <c r="AB56" s="953"/>
    </row>
    <row r="57" spans="1:28">
      <c r="A57" s="932"/>
      <c r="B57" s="979" t="s">
        <v>52</v>
      </c>
      <c r="C57" s="804"/>
      <c r="D57" s="980">
        <f t="shared" ref="D57:O57" si="12">IFERROR(D56/D52,0)</f>
        <v>0.31236025938022882</v>
      </c>
      <c r="E57" s="980">
        <f t="shared" si="12"/>
        <v>0.22998377707796555</v>
      </c>
      <c r="F57" s="980">
        <f t="shared" si="12"/>
        <v>0.21764103477447805</v>
      </c>
      <c r="G57" s="980">
        <f t="shared" si="12"/>
        <v>0.24198471581667888</v>
      </c>
      <c r="H57" s="980">
        <f t="shared" si="12"/>
        <v>0.19511904761904764</v>
      </c>
      <c r="I57" s="981">
        <f t="shared" si="12"/>
        <v>0</v>
      </c>
      <c r="J57" s="981">
        <f t="shared" ca="1" si="12"/>
        <v>0</v>
      </c>
      <c r="K57" s="981">
        <f t="shared" ca="1" si="12"/>
        <v>0</v>
      </c>
      <c r="L57" s="981">
        <f t="shared" ca="1" si="12"/>
        <v>0</v>
      </c>
      <c r="M57" s="981">
        <f t="shared" ca="1" si="12"/>
        <v>0</v>
      </c>
      <c r="N57" s="981">
        <f t="shared" ca="1" si="12"/>
        <v>0</v>
      </c>
      <c r="O57" s="982">
        <f t="shared" ca="1" si="12"/>
        <v>0</v>
      </c>
      <c r="P57" s="950"/>
      <c r="Q57" s="951">
        <f t="shared" si="0"/>
        <v>1</v>
      </c>
      <c r="R57" s="952">
        <v>1</v>
      </c>
      <c r="S57" s="932"/>
      <c r="T57" s="932"/>
      <c r="U57" s="953"/>
      <c r="V57" s="953"/>
      <c r="W57" s="953"/>
      <c r="X57" s="953"/>
      <c r="Y57" s="953"/>
      <c r="Z57" s="953"/>
      <c r="AA57" s="953"/>
      <c r="AB57" s="953"/>
    </row>
    <row r="58" spans="1:28" ht="2.4" customHeight="1">
      <c r="A58" s="932"/>
      <c r="B58" s="979"/>
      <c r="C58" s="804"/>
      <c r="D58" s="983"/>
      <c r="E58" s="983"/>
      <c r="F58" s="983"/>
      <c r="G58" s="983"/>
      <c r="H58" s="983"/>
      <c r="I58" s="984"/>
      <c r="J58" s="984"/>
      <c r="K58" s="984"/>
      <c r="L58" s="984"/>
      <c r="M58" s="984"/>
      <c r="N58" s="984"/>
      <c r="O58" s="985"/>
      <c r="P58" s="950"/>
      <c r="Q58" s="951">
        <f t="shared" si="0"/>
        <v>0</v>
      </c>
      <c r="R58" s="952">
        <v>0</v>
      </c>
      <c r="S58" s="932"/>
      <c r="T58" s="932"/>
      <c r="U58" s="953"/>
      <c r="V58" s="953"/>
      <c r="W58" s="953"/>
      <c r="X58" s="953"/>
      <c r="Y58" s="953"/>
      <c r="Z58" s="953"/>
      <c r="AA58" s="953"/>
      <c r="AB58" s="953"/>
    </row>
    <row r="59" spans="1:28">
      <c r="A59" s="932"/>
      <c r="B59" s="803" t="s">
        <v>413</v>
      </c>
      <c r="C59" s="804"/>
      <c r="D59" s="879">
        <f>'DCF - Summary'!F62</f>
        <v>-340.91899999999998</v>
      </c>
      <c r="E59" s="879">
        <f>'DCF - Summary'!G62</f>
        <v>-209.2</v>
      </c>
      <c r="F59" s="879">
        <f>'DCF - Summary'!H62</f>
        <v>-166.1</v>
      </c>
      <c r="G59" s="879">
        <f>'DCF - Summary'!I62</f>
        <v>-168</v>
      </c>
      <c r="H59" s="879">
        <f>'DCF - Summary'!J62</f>
        <v>-199.3</v>
      </c>
      <c r="I59" s="879">
        <f>'DCF - Summary'!K62</f>
        <v>0</v>
      </c>
      <c r="J59" s="838">
        <f ca="1">'LBO - Financials'!G17</f>
        <v>0</v>
      </c>
      <c r="K59" s="838">
        <f ca="1">'LBO - Financials'!H17</f>
        <v>0</v>
      </c>
      <c r="L59" s="838">
        <f ca="1">'LBO - Financials'!I17</f>
        <v>0</v>
      </c>
      <c r="M59" s="838">
        <f ca="1">'LBO - Financials'!J17</f>
        <v>0</v>
      </c>
      <c r="N59" s="838">
        <f ca="1">'LBO - Financials'!K17</f>
        <v>0</v>
      </c>
      <c r="O59" s="964">
        <f ca="1">'LBO - Financials'!L17</f>
        <v>0</v>
      </c>
      <c r="P59" s="950"/>
      <c r="Q59" s="951">
        <f t="shared" si="0"/>
        <v>1</v>
      </c>
      <c r="R59" s="952">
        <v>1</v>
      </c>
      <c r="S59" s="932"/>
      <c r="T59" s="932"/>
      <c r="U59" s="953"/>
      <c r="V59" s="953"/>
      <c r="W59" s="953"/>
      <c r="X59" s="953"/>
      <c r="Y59" s="953"/>
      <c r="Z59" s="953"/>
      <c r="AA59" s="953"/>
      <c r="AB59" s="953"/>
    </row>
    <row r="60" spans="1:28">
      <c r="A60" s="932"/>
      <c r="B60" s="803" t="s">
        <v>412</v>
      </c>
      <c r="C60" s="804"/>
      <c r="D60" s="879">
        <f>'DCF - Summary'!F61</f>
        <v>-219.6</v>
      </c>
      <c r="E60" s="879">
        <f>'DCF - Summary'!G61</f>
        <v>-199.3</v>
      </c>
      <c r="F60" s="879">
        <f>'DCF - Summary'!H61</f>
        <v>-396.4</v>
      </c>
      <c r="G60" s="879">
        <f>'DCF - Summary'!I61</f>
        <v>-283.10000000000002</v>
      </c>
      <c r="H60" s="879">
        <f>'DCF - Summary'!J61</f>
        <v>-267.39999999999998</v>
      </c>
      <c r="I60" s="879">
        <f>'DCF - Summary'!K61</f>
        <v>0</v>
      </c>
      <c r="J60" s="838">
        <f>'LBO - Financials'!G18</f>
        <v>0</v>
      </c>
      <c r="K60" s="838">
        <f>'LBO - Financials'!H18</f>
        <v>0</v>
      </c>
      <c r="L60" s="838">
        <f>'LBO - Financials'!I18</f>
        <v>0</v>
      </c>
      <c r="M60" s="838">
        <f>'LBO - Financials'!J18</f>
        <v>0</v>
      </c>
      <c r="N60" s="838">
        <f>'LBO - Financials'!K18</f>
        <v>0</v>
      </c>
      <c r="O60" s="964">
        <f>'LBO - Financials'!L18</f>
        <v>0</v>
      </c>
      <c r="P60" s="941"/>
      <c r="Q60" s="951">
        <f t="shared" si="0"/>
        <v>1</v>
      </c>
      <c r="R60" s="952">
        <v>1</v>
      </c>
      <c r="S60" s="932"/>
      <c r="T60" s="932"/>
      <c r="U60" s="953"/>
      <c r="V60" s="953"/>
      <c r="W60" s="953"/>
      <c r="X60" s="953"/>
      <c r="Y60" s="953"/>
      <c r="Z60" s="953"/>
      <c r="AA60" s="953"/>
      <c r="AB60" s="953"/>
    </row>
    <row r="61" spans="1:28">
      <c r="A61" s="932"/>
      <c r="B61" s="803" t="s">
        <v>411</v>
      </c>
      <c r="C61" s="804"/>
      <c r="D61" s="879">
        <f>'DCF - Summary'!F63</f>
        <v>-177.6</v>
      </c>
      <c r="E61" s="879">
        <f>'DCF - Summary'!G63</f>
        <v>175.10000000000002</v>
      </c>
      <c r="F61" s="879">
        <f>'DCF - Summary'!H63</f>
        <v>-22.499999999999986</v>
      </c>
      <c r="G61" s="879">
        <f>'DCF - Summary'!I63</f>
        <v>-38.299999999999997</v>
      </c>
      <c r="H61" s="879">
        <f>'DCF - Summary'!J63</f>
        <v>111.19999999999999</v>
      </c>
      <c r="I61" s="879">
        <f>'DCF - Summary'!K63</f>
        <v>0</v>
      </c>
      <c r="J61" s="838">
        <f>'LBO - Financials'!G19</f>
        <v>0</v>
      </c>
      <c r="K61" s="838">
        <f>'LBO - Financials'!H19</f>
        <v>0</v>
      </c>
      <c r="L61" s="838">
        <f>'LBO - Financials'!I19</f>
        <v>0</v>
      </c>
      <c r="M61" s="838">
        <f>'LBO - Financials'!J19</f>
        <v>0</v>
      </c>
      <c r="N61" s="838">
        <f>'LBO - Financials'!K19</f>
        <v>0</v>
      </c>
      <c r="O61" s="964">
        <f>'LBO - Financials'!L19</f>
        <v>0</v>
      </c>
      <c r="P61" s="941"/>
      <c r="Q61" s="951">
        <f t="shared" si="0"/>
        <v>1</v>
      </c>
      <c r="R61" s="952">
        <v>1</v>
      </c>
      <c r="S61" s="932"/>
      <c r="T61" s="932"/>
      <c r="U61" s="953"/>
      <c r="V61" s="953"/>
      <c r="W61" s="953"/>
      <c r="X61" s="953"/>
      <c r="Y61" s="953"/>
      <c r="Z61" s="953"/>
      <c r="AA61" s="953"/>
      <c r="AB61" s="953"/>
    </row>
    <row r="62" spans="1:28">
      <c r="A62" s="970"/>
      <c r="B62" s="986" t="s">
        <v>610</v>
      </c>
      <c r="C62" s="987"/>
      <c r="D62" s="987">
        <f t="shared" ref="D62:O62" si="13">D56+SUM(D59:D61)</f>
        <v>763.15499999999963</v>
      </c>
      <c r="E62" s="987">
        <f t="shared" si="13"/>
        <v>730.60000000000048</v>
      </c>
      <c r="F62" s="987">
        <f t="shared" si="13"/>
        <v>392.60000000000059</v>
      </c>
      <c r="G62" s="987">
        <f t="shared" si="13"/>
        <v>596.69999999999982</v>
      </c>
      <c r="H62" s="987">
        <f t="shared" si="13"/>
        <v>791.80000000000018</v>
      </c>
      <c r="I62" s="987">
        <f t="shared" si="13"/>
        <v>0</v>
      </c>
      <c r="J62" s="987">
        <f t="shared" ca="1" si="13"/>
        <v>0</v>
      </c>
      <c r="K62" s="987">
        <f t="shared" ca="1" si="13"/>
        <v>0</v>
      </c>
      <c r="L62" s="987">
        <f t="shared" ca="1" si="13"/>
        <v>0</v>
      </c>
      <c r="M62" s="987">
        <f t="shared" ca="1" si="13"/>
        <v>0</v>
      </c>
      <c r="N62" s="987">
        <f t="shared" ca="1" si="13"/>
        <v>0</v>
      </c>
      <c r="O62" s="988">
        <f t="shared" ca="1" si="13"/>
        <v>0</v>
      </c>
      <c r="P62" s="950"/>
      <c r="Q62" s="951">
        <f t="shared" si="0"/>
        <v>1</v>
      </c>
      <c r="R62" s="952">
        <v>1</v>
      </c>
      <c r="S62" s="960"/>
      <c r="T62" s="960"/>
      <c r="U62" s="953"/>
      <c r="V62" s="953"/>
      <c r="W62" s="953"/>
      <c r="X62" s="953"/>
      <c r="Y62" s="953"/>
      <c r="Z62" s="953"/>
      <c r="AA62" s="953"/>
      <c r="AB62" s="953"/>
    </row>
    <row r="63" spans="1:28">
      <c r="A63" s="970"/>
      <c r="B63" s="896" t="s">
        <v>410</v>
      </c>
      <c r="C63" s="884"/>
      <c r="D63" s="884">
        <f>-'DCF - Capital Structure'!F30</f>
        <v>2.181</v>
      </c>
      <c r="E63" s="884">
        <f>-'DCF - Capital Structure'!G30</f>
        <v>-6.4</v>
      </c>
      <c r="F63" s="884">
        <f>-'DCF - Capital Structure'!H30</f>
        <v>-26.9</v>
      </c>
      <c r="G63" s="884">
        <f>-'DCF - Capital Structure'!I30</f>
        <v>-28.4</v>
      </c>
      <c r="H63" s="884">
        <f>-'DCF - Capital Structure'!J30</f>
        <v>-74</v>
      </c>
      <c r="I63" s="884">
        <f>-'DCF - Capital Structure'!K30</f>
        <v>0</v>
      </c>
      <c r="J63" s="838">
        <f ca="1">'LBO - Financials'!G135</f>
        <v>0</v>
      </c>
      <c r="K63" s="838">
        <f ca="1">'LBO - Financials'!H135</f>
        <v>0</v>
      </c>
      <c r="L63" s="838">
        <f ca="1">'LBO - Financials'!I135</f>
        <v>0</v>
      </c>
      <c r="M63" s="838">
        <f ca="1">'LBO - Financials'!J135</f>
        <v>0</v>
      </c>
      <c r="N63" s="838">
        <f ca="1">'LBO - Financials'!K135</f>
        <v>0</v>
      </c>
      <c r="O63" s="964">
        <f ca="1">'LBO - Financials'!L135</f>
        <v>0</v>
      </c>
      <c r="P63" s="950"/>
      <c r="Q63" s="951">
        <f t="shared" si="0"/>
        <v>1</v>
      </c>
      <c r="R63" s="952">
        <v>1</v>
      </c>
      <c r="S63" s="960"/>
      <c r="T63" s="960"/>
      <c r="U63" s="953"/>
      <c r="V63" s="953"/>
      <c r="W63" s="953"/>
      <c r="X63" s="953"/>
      <c r="Y63" s="953"/>
      <c r="Z63" s="953"/>
      <c r="AA63" s="953"/>
      <c r="AB63" s="953"/>
    </row>
    <row r="64" spans="1:28">
      <c r="A64" s="970"/>
      <c r="B64" s="896" t="s">
        <v>409</v>
      </c>
      <c r="C64" s="884"/>
      <c r="D64" s="884">
        <v>0</v>
      </c>
      <c r="E64" s="884">
        <v>0</v>
      </c>
      <c r="F64" s="884">
        <v>0</v>
      </c>
      <c r="G64" s="884">
        <v>0</v>
      </c>
      <c r="H64" s="884">
        <v>0</v>
      </c>
      <c r="I64" s="884">
        <v>0</v>
      </c>
      <c r="J64" s="838">
        <f ca="1">-'LBO - Financials'!G136</f>
        <v>0</v>
      </c>
      <c r="K64" s="838">
        <f ca="1">-'LBO - Financials'!H136</f>
        <v>0</v>
      </c>
      <c r="L64" s="838">
        <f ca="1">-'LBO - Financials'!I136</f>
        <v>0</v>
      </c>
      <c r="M64" s="838">
        <f ca="1">-'LBO - Financials'!J136</f>
        <v>0</v>
      </c>
      <c r="N64" s="838">
        <f ca="1">-'LBO - Financials'!K136</f>
        <v>0</v>
      </c>
      <c r="O64" s="964">
        <f ca="1">-'LBO - Financials'!L136</f>
        <v>0</v>
      </c>
      <c r="P64" s="950"/>
      <c r="Q64" s="951">
        <f t="shared" si="0"/>
        <v>1</v>
      </c>
      <c r="R64" s="952">
        <v>1</v>
      </c>
      <c r="S64" s="960"/>
      <c r="T64" s="960"/>
      <c r="U64" s="953"/>
      <c r="V64" s="953"/>
      <c r="W64" s="953"/>
      <c r="X64" s="953"/>
      <c r="Y64" s="953"/>
      <c r="Z64" s="953"/>
      <c r="AA64" s="953"/>
      <c r="AB64" s="953"/>
    </row>
    <row r="65" spans="1:28">
      <c r="A65" s="970"/>
      <c r="B65" s="896" t="s">
        <v>408</v>
      </c>
      <c r="C65" s="884"/>
      <c r="D65" s="884">
        <v>0</v>
      </c>
      <c r="E65" s="884">
        <v>0</v>
      </c>
      <c r="F65" s="884">
        <v>0</v>
      </c>
      <c r="G65" s="884">
        <v>0</v>
      </c>
      <c r="H65" s="884">
        <v>0</v>
      </c>
      <c r="I65" s="884">
        <v>0</v>
      </c>
      <c r="J65" s="838">
        <f ca="1">-'LBO - Financials'!G137</f>
        <v>0</v>
      </c>
      <c r="K65" s="838">
        <f ca="1">-'LBO - Financials'!H137</f>
        <v>0</v>
      </c>
      <c r="L65" s="838">
        <f ca="1">-'LBO - Financials'!I137</f>
        <v>0</v>
      </c>
      <c r="M65" s="838">
        <f ca="1">-'LBO - Financials'!J137</f>
        <v>0</v>
      </c>
      <c r="N65" s="838">
        <f ca="1">-'LBO - Financials'!K137</f>
        <v>0</v>
      </c>
      <c r="O65" s="964">
        <f ca="1">-'LBO - Financials'!L137</f>
        <v>0</v>
      </c>
      <c r="P65" s="950"/>
      <c r="Q65" s="951">
        <f t="shared" si="0"/>
        <v>1</v>
      </c>
      <c r="R65" s="952">
        <v>1</v>
      </c>
      <c r="S65" s="960"/>
      <c r="T65" s="960"/>
      <c r="U65" s="953"/>
      <c r="V65" s="953"/>
      <c r="W65" s="953"/>
      <c r="X65" s="953"/>
      <c r="Y65" s="953"/>
      <c r="Z65" s="953"/>
      <c r="AA65" s="953"/>
      <c r="AB65" s="953"/>
    </row>
    <row r="66" spans="1:28">
      <c r="A66" s="970"/>
      <c r="B66" s="986" t="s">
        <v>407</v>
      </c>
      <c r="C66" s="987"/>
      <c r="D66" s="987">
        <f t="shared" ref="D66:O66" si="14">SUM(D63:D65)</f>
        <v>2.181</v>
      </c>
      <c r="E66" s="987">
        <f t="shared" si="14"/>
        <v>-6.4</v>
      </c>
      <c r="F66" s="987">
        <f t="shared" si="14"/>
        <v>-26.9</v>
      </c>
      <c r="G66" s="987">
        <f t="shared" si="14"/>
        <v>-28.4</v>
      </c>
      <c r="H66" s="987">
        <f t="shared" si="14"/>
        <v>-74</v>
      </c>
      <c r="I66" s="987">
        <f t="shared" si="14"/>
        <v>0</v>
      </c>
      <c r="J66" s="987">
        <f t="shared" ca="1" si="14"/>
        <v>0</v>
      </c>
      <c r="K66" s="987">
        <f t="shared" ca="1" si="14"/>
        <v>0</v>
      </c>
      <c r="L66" s="987">
        <f t="shared" ca="1" si="14"/>
        <v>0</v>
      </c>
      <c r="M66" s="987">
        <f t="shared" ca="1" si="14"/>
        <v>0</v>
      </c>
      <c r="N66" s="987">
        <f t="shared" ca="1" si="14"/>
        <v>0</v>
      </c>
      <c r="O66" s="988">
        <f t="shared" ca="1" si="14"/>
        <v>0</v>
      </c>
      <c r="P66" s="950"/>
      <c r="Q66" s="951">
        <f t="shared" si="0"/>
        <v>1</v>
      </c>
      <c r="R66" s="952">
        <v>1</v>
      </c>
      <c r="S66" s="960"/>
      <c r="T66" s="960"/>
      <c r="U66" s="953"/>
      <c r="V66" s="953"/>
      <c r="W66" s="953"/>
      <c r="X66" s="953"/>
      <c r="Y66" s="953"/>
      <c r="Z66" s="953"/>
      <c r="AA66" s="953"/>
      <c r="AB66" s="953"/>
    </row>
    <row r="67" spans="1:28" ht="4.2" customHeight="1">
      <c r="A67" s="970"/>
      <c r="B67" s="989"/>
      <c r="C67" s="962"/>
      <c r="D67" s="962"/>
      <c r="E67" s="962"/>
      <c r="F67" s="962"/>
      <c r="G67" s="962"/>
      <c r="H67" s="962"/>
      <c r="I67" s="942"/>
      <c r="J67" s="942"/>
      <c r="K67" s="942"/>
      <c r="L67" s="942"/>
      <c r="M67" s="942"/>
      <c r="N67" s="942"/>
      <c r="O67" s="963"/>
      <c r="P67" s="950"/>
      <c r="Q67" s="951">
        <f t="shared" si="0"/>
        <v>0</v>
      </c>
      <c r="R67" s="952">
        <v>0</v>
      </c>
      <c r="S67" s="960"/>
      <c r="T67" s="960"/>
      <c r="U67" s="953"/>
      <c r="V67" s="953"/>
      <c r="W67" s="953"/>
      <c r="X67" s="953"/>
      <c r="Y67" s="953"/>
      <c r="Z67" s="953"/>
      <c r="AA67" s="953"/>
      <c r="AB67" s="953"/>
    </row>
    <row r="68" spans="1:28">
      <c r="A68" s="970"/>
      <c r="B68" s="990" t="s">
        <v>406</v>
      </c>
      <c r="C68" s="991"/>
      <c r="D68" s="992"/>
      <c r="E68" s="992"/>
      <c r="F68" s="992"/>
      <c r="G68" s="992"/>
      <c r="H68" s="992"/>
      <c r="I68" s="993" t="str">
        <f t="shared" ref="I68:O68" ca="1" si="15">IFERROR(I41/I56,"NM")</f>
        <v>NM</v>
      </c>
      <c r="J68" s="993" t="str">
        <f t="shared" ca="1" si="15"/>
        <v>NM</v>
      </c>
      <c r="K68" s="993" t="str">
        <f t="shared" ca="1" si="15"/>
        <v>NM</v>
      </c>
      <c r="L68" s="993" t="str">
        <f t="shared" ca="1" si="15"/>
        <v>NM</v>
      </c>
      <c r="M68" s="993" t="str">
        <f t="shared" ca="1" si="15"/>
        <v>NM</v>
      </c>
      <c r="N68" s="993" t="str">
        <f t="shared" ca="1" si="15"/>
        <v>NM</v>
      </c>
      <c r="O68" s="994" t="str">
        <f t="shared" ca="1" si="15"/>
        <v>NM</v>
      </c>
      <c r="P68" s="950"/>
      <c r="Q68" s="951">
        <f t="shared" si="0"/>
        <v>1</v>
      </c>
      <c r="R68" s="952">
        <v>1</v>
      </c>
      <c r="S68" s="960"/>
      <c r="T68" s="960"/>
      <c r="U68" s="953"/>
      <c r="V68" s="953"/>
      <c r="W68" s="953"/>
      <c r="X68" s="953"/>
      <c r="Y68" s="953"/>
      <c r="Z68" s="953"/>
      <c r="AA68" s="953"/>
      <c r="AB68" s="953"/>
    </row>
    <row r="69" spans="1:28">
      <c r="A69" s="970"/>
      <c r="B69" s="990" t="s">
        <v>618</v>
      </c>
      <c r="C69" s="991"/>
      <c r="D69" s="993"/>
      <c r="E69" s="993"/>
      <c r="F69" s="993"/>
      <c r="G69" s="993"/>
      <c r="H69" s="993"/>
      <c r="I69" s="993"/>
      <c r="J69" s="993" t="str">
        <f t="shared" ref="J69:O69" ca="1" si="16">IFERROR(IF(J62&lt;0,"NM",MAX(-J62/J66,0)),"NM")</f>
        <v>NM</v>
      </c>
      <c r="K69" s="993" t="str">
        <f t="shared" ca="1" si="16"/>
        <v>NM</v>
      </c>
      <c r="L69" s="993" t="str">
        <f t="shared" ca="1" si="16"/>
        <v>NM</v>
      </c>
      <c r="M69" s="993" t="str">
        <f t="shared" ca="1" si="16"/>
        <v>NM</v>
      </c>
      <c r="N69" s="993" t="str">
        <f t="shared" ca="1" si="16"/>
        <v>NM</v>
      </c>
      <c r="O69" s="994" t="str">
        <f t="shared" ca="1" si="16"/>
        <v>NM</v>
      </c>
      <c r="P69" s="950"/>
      <c r="Q69" s="951">
        <f t="shared" si="0"/>
        <v>1</v>
      </c>
      <c r="R69" s="952">
        <v>1</v>
      </c>
      <c r="S69" s="960"/>
      <c r="T69" s="960"/>
      <c r="U69" s="953"/>
      <c r="V69" s="953"/>
      <c r="W69" s="953"/>
      <c r="X69" s="953"/>
      <c r="Y69" s="953"/>
      <c r="Z69" s="953"/>
      <c r="AA69" s="953"/>
      <c r="AB69" s="953"/>
    </row>
    <row r="70" spans="1:28">
      <c r="A70" s="970"/>
      <c r="B70" s="990" t="s">
        <v>619</v>
      </c>
      <c r="C70" s="991"/>
      <c r="D70" s="993"/>
      <c r="E70" s="993"/>
      <c r="F70" s="993"/>
      <c r="G70" s="993"/>
      <c r="H70" s="993"/>
      <c r="I70" s="993"/>
      <c r="J70" s="993" t="str">
        <f t="shared" ref="J70:O70" ca="1" si="17">IFERROR(IF(J62&lt;0,"NM",MAX(-J62/SUM(J63,J64),0)),"NM")</f>
        <v>NM</v>
      </c>
      <c r="K70" s="993" t="str">
        <f t="shared" ca="1" si="17"/>
        <v>NM</v>
      </c>
      <c r="L70" s="993" t="str">
        <f t="shared" ca="1" si="17"/>
        <v>NM</v>
      </c>
      <c r="M70" s="993" t="str">
        <f t="shared" ca="1" si="17"/>
        <v>NM</v>
      </c>
      <c r="N70" s="993" t="str">
        <f t="shared" ca="1" si="17"/>
        <v>NM</v>
      </c>
      <c r="O70" s="994" t="str">
        <f t="shared" ca="1" si="17"/>
        <v>NM</v>
      </c>
      <c r="P70" s="950"/>
      <c r="Q70" s="951">
        <f t="shared" si="0"/>
        <v>1</v>
      </c>
      <c r="R70" s="952">
        <v>1</v>
      </c>
      <c r="S70" s="960"/>
      <c r="T70" s="960"/>
      <c r="U70" s="953"/>
      <c r="V70" s="953"/>
      <c r="W70" s="953"/>
      <c r="X70" s="953"/>
      <c r="Y70" s="953"/>
      <c r="Z70" s="953"/>
      <c r="AA70" s="953"/>
      <c r="AB70" s="953"/>
    </row>
    <row r="71" spans="1:28" ht="5.4" customHeight="1">
      <c r="A71" s="970"/>
      <c r="B71" s="989"/>
      <c r="C71" s="962"/>
      <c r="D71" s="962"/>
      <c r="E71" s="962"/>
      <c r="F71" s="962"/>
      <c r="G71" s="962"/>
      <c r="H71" s="962"/>
      <c r="I71" s="942"/>
      <c r="J71" s="942"/>
      <c r="K71" s="942"/>
      <c r="L71" s="942"/>
      <c r="M71" s="942"/>
      <c r="N71" s="942"/>
      <c r="O71" s="963"/>
      <c r="P71" s="950"/>
      <c r="Q71" s="951">
        <f t="shared" ref="Q71:Q119" si="18">IF(NOT(ISBLANK(B71)), 1, 0)</f>
        <v>0</v>
      </c>
      <c r="R71" s="952">
        <v>0</v>
      </c>
      <c r="S71" s="960"/>
      <c r="T71" s="960"/>
      <c r="U71" s="953"/>
      <c r="V71" s="953"/>
      <c r="W71" s="953"/>
      <c r="X71" s="953"/>
      <c r="Y71" s="953"/>
      <c r="Z71" s="953"/>
      <c r="AA71" s="953"/>
      <c r="AB71" s="953"/>
    </row>
    <row r="72" spans="1:28">
      <c r="A72" s="970"/>
      <c r="B72" s="974" t="s">
        <v>405</v>
      </c>
      <c r="C72" s="976"/>
      <c r="D72" s="976">
        <f t="shared" ref="D72:O72" si="19">D62+D66</f>
        <v>765.33599999999967</v>
      </c>
      <c r="E72" s="976">
        <f t="shared" si="19"/>
        <v>724.2000000000005</v>
      </c>
      <c r="F72" s="976">
        <f t="shared" si="19"/>
        <v>365.70000000000061</v>
      </c>
      <c r="G72" s="976">
        <f t="shared" si="19"/>
        <v>568.29999999999984</v>
      </c>
      <c r="H72" s="976">
        <f t="shared" si="19"/>
        <v>717.80000000000018</v>
      </c>
      <c r="I72" s="976">
        <f t="shared" si="19"/>
        <v>0</v>
      </c>
      <c r="J72" s="976">
        <f t="shared" ca="1" si="19"/>
        <v>0</v>
      </c>
      <c r="K72" s="976">
        <f t="shared" ca="1" si="19"/>
        <v>0</v>
      </c>
      <c r="L72" s="976">
        <f t="shared" ca="1" si="19"/>
        <v>0</v>
      </c>
      <c r="M72" s="976">
        <f t="shared" ca="1" si="19"/>
        <v>0</v>
      </c>
      <c r="N72" s="976">
        <f t="shared" ca="1" si="19"/>
        <v>0</v>
      </c>
      <c r="O72" s="977">
        <f t="shared" ca="1" si="19"/>
        <v>0</v>
      </c>
      <c r="P72" s="950"/>
      <c r="Q72" s="951">
        <f t="shared" si="18"/>
        <v>1</v>
      </c>
      <c r="R72" s="952">
        <v>1</v>
      </c>
      <c r="S72" s="960"/>
      <c r="T72" s="960"/>
      <c r="U72" s="953"/>
      <c r="V72" s="953"/>
      <c r="W72" s="953"/>
      <c r="X72" s="953"/>
      <c r="Y72" s="953"/>
      <c r="Z72" s="953"/>
      <c r="AA72" s="953"/>
      <c r="AB72" s="953"/>
    </row>
    <row r="73" spans="1:28">
      <c r="A73" s="970"/>
      <c r="B73" s="896" t="s">
        <v>400</v>
      </c>
      <c r="C73" s="884"/>
      <c r="D73" s="884"/>
      <c r="E73" s="884"/>
      <c r="F73" s="884"/>
      <c r="G73" s="838"/>
      <c r="H73" s="838"/>
      <c r="I73" s="838">
        <f>'LBO - Financials'!F24</f>
        <v>0</v>
      </c>
      <c r="J73" s="838">
        <f ca="1">'LBO - Financials'!G24</f>
        <v>0</v>
      </c>
      <c r="K73" s="838">
        <f ca="1">'LBO - Financials'!H24</f>
        <v>0</v>
      </c>
      <c r="L73" s="838">
        <f ca="1">'LBO - Financials'!I24</f>
        <v>0</v>
      </c>
      <c r="M73" s="838">
        <f ca="1">'LBO - Financials'!J24</f>
        <v>0</v>
      </c>
      <c r="N73" s="838">
        <f ca="1">'LBO - Financials'!K24</f>
        <v>0</v>
      </c>
      <c r="O73" s="964">
        <f ca="1">'LBO - Financials'!L24</f>
        <v>0</v>
      </c>
      <c r="P73" s="950"/>
      <c r="Q73" s="951">
        <f t="shared" si="18"/>
        <v>1</v>
      </c>
      <c r="R73" s="952">
        <v>1</v>
      </c>
      <c r="S73" s="960"/>
      <c r="T73" s="960"/>
      <c r="U73" s="953"/>
      <c r="V73" s="953"/>
      <c r="W73" s="953"/>
      <c r="X73" s="953"/>
      <c r="Y73" s="953"/>
      <c r="Z73" s="953"/>
      <c r="AA73" s="953"/>
      <c r="AB73" s="953"/>
    </row>
    <row r="74" spans="1:28">
      <c r="A74" s="970"/>
      <c r="B74" s="995" t="s">
        <v>591</v>
      </c>
      <c r="C74" s="931"/>
      <c r="D74" s="931"/>
      <c r="E74" s="931"/>
      <c r="F74" s="931"/>
      <c r="G74" s="931"/>
      <c r="H74" s="931"/>
      <c r="I74" s="931"/>
      <c r="J74" s="931">
        <f t="shared" ref="J74:O74" ca="1" si="20">SUM(J72:J73)</f>
        <v>0</v>
      </c>
      <c r="K74" s="931">
        <f t="shared" ca="1" si="20"/>
        <v>0</v>
      </c>
      <c r="L74" s="931">
        <f t="shared" ca="1" si="20"/>
        <v>0</v>
      </c>
      <c r="M74" s="931">
        <f t="shared" ca="1" si="20"/>
        <v>0</v>
      </c>
      <c r="N74" s="931">
        <f t="shared" ca="1" si="20"/>
        <v>0</v>
      </c>
      <c r="O74" s="996">
        <f t="shared" ca="1" si="20"/>
        <v>0</v>
      </c>
      <c r="P74" s="950"/>
      <c r="Q74" s="951">
        <f t="shared" si="18"/>
        <v>1</v>
      </c>
      <c r="R74" s="952">
        <v>1</v>
      </c>
      <c r="S74" s="960"/>
      <c r="T74" s="960"/>
      <c r="U74" s="953"/>
      <c r="V74" s="953"/>
      <c r="W74" s="953"/>
      <c r="X74" s="953"/>
      <c r="Y74" s="953"/>
      <c r="Z74" s="953"/>
      <c r="AA74" s="953"/>
      <c r="AB74" s="953"/>
    </row>
    <row r="75" spans="1:28" ht="3" customHeight="1">
      <c r="A75" s="970"/>
      <c r="B75" s="989"/>
      <c r="C75" s="962"/>
      <c r="D75" s="962"/>
      <c r="E75" s="962"/>
      <c r="F75" s="962"/>
      <c r="G75" s="962"/>
      <c r="H75" s="962"/>
      <c r="I75" s="942"/>
      <c r="J75" s="942"/>
      <c r="K75" s="942"/>
      <c r="L75" s="942"/>
      <c r="M75" s="942"/>
      <c r="N75" s="942"/>
      <c r="O75" s="963"/>
      <c r="P75" s="950"/>
      <c r="Q75" s="951">
        <f t="shared" si="18"/>
        <v>0</v>
      </c>
      <c r="R75" s="952">
        <v>0</v>
      </c>
      <c r="S75" s="960"/>
      <c r="T75" s="960"/>
      <c r="U75" s="953"/>
      <c r="V75" s="953"/>
      <c r="W75" s="953"/>
      <c r="X75" s="953"/>
      <c r="Y75" s="953"/>
      <c r="Z75" s="953"/>
      <c r="AA75" s="953"/>
      <c r="AB75" s="953"/>
    </row>
    <row r="76" spans="1:28">
      <c r="A76" s="970"/>
      <c r="B76" s="997" t="s">
        <v>589</v>
      </c>
      <c r="C76" s="962"/>
      <c r="D76" s="962"/>
      <c r="E76" s="962"/>
      <c r="F76" s="962"/>
      <c r="G76" s="962"/>
      <c r="H76" s="962"/>
      <c r="I76" s="942"/>
      <c r="J76" s="942"/>
      <c r="K76" s="942"/>
      <c r="L76" s="942"/>
      <c r="M76" s="942"/>
      <c r="N76" s="942"/>
      <c r="O76" s="963"/>
      <c r="P76" s="950"/>
      <c r="Q76" s="951">
        <f t="shared" si="18"/>
        <v>1</v>
      </c>
      <c r="R76" s="952">
        <v>1</v>
      </c>
      <c r="S76" s="960"/>
      <c r="T76" s="960"/>
      <c r="U76" s="953"/>
      <c r="V76" s="953"/>
      <c r="W76" s="953"/>
      <c r="X76" s="953"/>
      <c r="Y76" s="953"/>
      <c r="Z76" s="953"/>
      <c r="AA76" s="953"/>
      <c r="AB76" s="953"/>
    </row>
    <row r="77" spans="1:28">
      <c r="A77" s="970"/>
      <c r="B77" s="896" t="s">
        <v>404</v>
      </c>
      <c r="C77" s="884"/>
      <c r="D77" s="884"/>
      <c r="E77" s="884"/>
      <c r="F77" s="962"/>
      <c r="G77" s="962"/>
      <c r="H77" s="962"/>
      <c r="I77" s="884">
        <f ca="1">N13</f>
        <v>1243.4000000000001</v>
      </c>
      <c r="J77" s="838">
        <v>0</v>
      </c>
      <c r="K77" s="838">
        <v>0</v>
      </c>
      <c r="L77" s="838">
        <v>0</v>
      </c>
      <c r="M77" s="838">
        <v>0</v>
      </c>
      <c r="N77" s="838">
        <v>0</v>
      </c>
      <c r="O77" s="964">
        <v>0</v>
      </c>
      <c r="P77" s="950"/>
      <c r="Q77" s="951">
        <f t="shared" si="18"/>
        <v>1</v>
      </c>
      <c r="R77" s="952">
        <v>1</v>
      </c>
      <c r="S77" s="960"/>
      <c r="T77" s="960"/>
      <c r="U77" s="953"/>
      <c r="V77" s="953"/>
      <c r="W77" s="953"/>
      <c r="X77" s="953"/>
      <c r="Y77" s="953"/>
      <c r="Z77" s="953"/>
      <c r="AA77" s="953"/>
      <c r="AB77" s="953"/>
    </row>
    <row r="78" spans="1:28">
      <c r="A78" s="970"/>
      <c r="B78" s="896" t="s">
        <v>403</v>
      </c>
      <c r="C78" s="884"/>
      <c r="D78" s="884"/>
      <c r="E78" s="884"/>
      <c r="F78" s="962"/>
      <c r="G78" s="962"/>
      <c r="H78" s="962"/>
      <c r="I78" s="884">
        <f ca="1">N12</f>
        <v>490.5</v>
      </c>
      <c r="J78" s="838">
        <v>0</v>
      </c>
      <c r="K78" s="838">
        <v>0</v>
      </c>
      <c r="L78" s="838">
        <v>0</v>
      </c>
      <c r="M78" s="838">
        <v>0</v>
      </c>
      <c r="N78" s="838">
        <v>0</v>
      </c>
      <c r="O78" s="964">
        <v>0</v>
      </c>
      <c r="P78" s="950"/>
      <c r="Q78" s="951">
        <f t="shared" si="18"/>
        <v>1</v>
      </c>
      <c r="R78" s="952">
        <v>1</v>
      </c>
      <c r="S78" s="960"/>
      <c r="T78" s="960"/>
      <c r="U78" s="953"/>
      <c r="V78" s="953"/>
      <c r="W78" s="953"/>
      <c r="X78" s="953"/>
      <c r="Y78" s="953"/>
      <c r="Z78" s="953"/>
      <c r="AA78" s="953"/>
      <c r="AB78" s="953"/>
    </row>
    <row r="79" spans="1:28">
      <c r="A79" s="970"/>
      <c r="B79" s="896" t="s">
        <v>402</v>
      </c>
      <c r="C79" s="884"/>
      <c r="D79" s="884"/>
      <c r="E79" s="884"/>
      <c r="F79" s="962"/>
      <c r="G79" s="962"/>
      <c r="H79" s="962"/>
      <c r="I79" s="884">
        <f ca="1">N7</f>
        <v>0</v>
      </c>
      <c r="J79" s="838">
        <v>0</v>
      </c>
      <c r="K79" s="838">
        <v>0</v>
      </c>
      <c r="L79" s="838">
        <v>0</v>
      </c>
      <c r="M79" s="838">
        <v>0</v>
      </c>
      <c r="N79" s="838">
        <v>0</v>
      </c>
      <c r="O79" s="964">
        <v>0</v>
      </c>
      <c r="P79" s="950"/>
      <c r="Q79" s="951">
        <f t="shared" si="18"/>
        <v>1</v>
      </c>
      <c r="R79" s="952">
        <v>1</v>
      </c>
      <c r="S79" s="960"/>
      <c r="T79" s="960"/>
      <c r="U79" s="953"/>
      <c r="V79" s="953"/>
      <c r="W79" s="953"/>
      <c r="X79" s="953"/>
      <c r="Y79" s="953"/>
      <c r="Z79" s="953"/>
      <c r="AA79" s="953"/>
      <c r="AB79" s="953"/>
    </row>
    <row r="80" spans="1:28">
      <c r="A80" s="970"/>
      <c r="B80" s="896" t="s">
        <v>401</v>
      </c>
      <c r="C80" s="884"/>
      <c r="D80" s="884"/>
      <c r="E80" s="884"/>
      <c r="F80" s="962"/>
      <c r="G80" s="962"/>
      <c r="H80" s="962"/>
      <c r="I80" s="884">
        <f ca="1">N8</f>
        <v>0</v>
      </c>
      <c r="J80" s="838">
        <v>0</v>
      </c>
      <c r="K80" s="838">
        <v>0</v>
      </c>
      <c r="L80" s="838">
        <v>0</v>
      </c>
      <c r="M80" s="838">
        <v>0</v>
      </c>
      <c r="N80" s="838">
        <v>0</v>
      </c>
      <c r="O80" s="964">
        <v>0</v>
      </c>
      <c r="P80" s="950"/>
      <c r="Q80" s="951">
        <f t="shared" si="18"/>
        <v>1</v>
      </c>
      <c r="R80" s="952">
        <v>1</v>
      </c>
      <c r="S80" s="960"/>
      <c r="T80" s="960"/>
      <c r="U80" s="953"/>
      <c r="V80" s="953"/>
      <c r="W80" s="953"/>
      <c r="X80" s="953"/>
      <c r="Y80" s="953"/>
      <c r="Z80" s="953"/>
      <c r="AA80" s="953"/>
      <c r="AB80" s="953"/>
    </row>
    <row r="81" spans="1:28">
      <c r="A81" s="970"/>
      <c r="B81" s="896" t="s">
        <v>587</v>
      </c>
      <c r="C81" s="884"/>
      <c r="D81" s="884"/>
      <c r="E81" s="884"/>
      <c r="F81" s="962"/>
      <c r="G81" s="962"/>
      <c r="H81" s="962"/>
      <c r="I81" s="884">
        <f ca="1">-D14</f>
        <v>-1733.9</v>
      </c>
      <c r="J81" s="838">
        <v>0</v>
      </c>
      <c r="K81" s="838">
        <v>0</v>
      </c>
      <c r="L81" s="838">
        <v>0</v>
      </c>
      <c r="M81" s="838">
        <v>0</v>
      </c>
      <c r="N81" s="838">
        <v>0</v>
      </c>
      <c r="O81" s="964">
        <v>0</v>
      </c>
      <c r="P81" s="950"/>
      <c r="Q81" s="951">
        <f t="shared" si="18"/>
        <v>1</v>
      </c>
      <c r="R81" s="952">
        <v>1</v>
      </c>
      <c r="S81" s="960"/>
      <c r="T81" s="960"/>
      <c r="U81" s="953"/>
      <c r="V81" s="953"/>
      <c r="W81" s="953"/>
      <c r="X81" s="953"/>
      <c r="Y81" s="953"/>
      <c r="Z81" s="953"/>
      <c r="AA81" s="953"/>
      <c r="AB81" s="953"/>
    </row>
    <row r="82" spans="1:28" ht="2.4" customHeight="1">
      <c r="A82" s="970"/>
      <c r="B82" s="989"/>
      <c r="C82" s="962"/>
      <c r="D82" s="962"/>
      <c r="E82" s="962"/>
      <c r="F82" s="962"/>
      <c r="G82" s="962"/>
      <c r="H82" s="962"/>
      <c r="I82" s="942"/>
      <c r="J82" s="942"/>
      <c r="K82" s="838">
        <v>0</v>
      </c>
      <c r="L82" s="838">
        <v>0</v>
      </c>
      <c r="M82" s="838">
        <v>0</v>
      </c>
      <c r="N82" s="838">
        <v>0</v>
      </c>
      <c r="O82" s="964">
        <v>0</v>
      </c>
      <c r="P82" s="950"/>
      <c r="Q82" s="951">
        <f t="shared" si="18"/>
        <v>0</v>
      </c>
      <c r="R82" s="952">
        <v>0</v>
      </c>
      <c r="S82" s="960"/>
      <c r="T82" s="960"/>
      <c r="U82" s="953"/>
      <c r="V82" s="953"/>
      <c r="W82" s="953"/>
      <c r="X82" s="953"/>
      <c r="Y82" s="953"/>
      <c r="Z82" s="953"/>
      <c r="AA82" s="953"/>
      <c r="AB82" s="953"/>
    </row>
    <row r="83" spans="1:28">
      <c r="A83" s="970"/>
      <c r="B83" s="997" t="s">
        <v>577</v>
      </c>
      <c r="C83" s="962"/>
      <c r="D83" s="962"/>
      <c r="E83" s="962"/>
      <c r="F83" s="962"/>
      <c r="G83" s="962"/>
      <c r="H83" s="962"/>
      <c r="I83" s="942"/>
      <c r="J83" s="942"/>
      <c r="K83" s="942"/>
      <c r="L83" s="942"/>
      <c r="M83" s="942"/>
      <c r="N83" s="942"/>
      <c r="O83" s="963"/>
      <c r="P83" s="950"/>
      <c r="Q83" s="951">
        <f t="shared" si="18"/>
        <v>1</v>
      </c>
      <c r="R83" s="952">
        <v>1</v>
      </c>
      <c r="S83" s="960"/>
      <c r="T83" s="960"/>
      <c r="U83" s="953"/>
      <c r="V83" s="953"/>
      <c r="W83" s="953"/>
      <c r="X83" s="953"/>
      <c r="Y83" s="953"/>
      <c r="Z83" s="953"/>
      <c r="AA83" s="953"/>
      <c r="AB83" s="953"/>
    </row>
    <row r="84" spans="1:28">
      <c r="A84" s="970"/>
      <c r="B84" s="896" t="s">
        <v>399</v>
      </c>
      <c r="C84" s="897"/>
      <c r="D84" s="897"/>
      <c r="E84" s="897"/>
      <c r="F84" s="884"/>
      <c r="G84" s="884"/>
      <c r="H84" s="962"/>
      <c r="I84" s="884">
        <f ca="1">-N12</f>
        <v>-490.5</v>
      </c>
      <c r="J84" s="931">
        <v>0</v>
      </c>
      <c r="K84" s="931">
        <v>0</v>
      </c>
      <c r="L84" s="931">
        <v>0</v>
      </c>
      <c r="M84" s="931">
        <v>0</v>
      </c>
      <c r="N84" s="931">
        <v>0</v>
      </c>
      <c r="O84" s="996">
        <v>0</v>
      </c>
      <c r="P84" s="950"/>
      <c r="Q84" s="951">
        <f t="shared" si="18"/>
        <v>1</v>
      </c>
      <c r="R84" s="952">
        <v>1</v>
      </c>
      <c r="S84" s="960"/>
      <c r="T84" s="960"/>
      <c r="U84" s="953"/>
      <c r="V84" s="953"/>
      <c r="W84" s="953"/>
      <c r="X84" s="953"/>
      <c r="Y84" s="953"/>
      <c r="Z84" s="953"/>
      <c r="AA84" s="953"/>
      <c r="AB84" s="953"/>
    </row>
    <row r="85" spans="1:28">
      <c r="A85" s="970"/>
      <c r="B85" s="896" t="s">
        <v>398</v>
      </c>
      <c r="C85" s="897"/>
      <c r="D85" s="897"/>
      <c r="E85" s="897"/>
      <c r="F85" s="897"/>
      <c r="G85" s="884"/>
      <c r="H85" s="884"/>
      <c r="I85" s="838">
        <f>'LBO - Financials'!F34</f>
        <v>0</v>
      </c>
      <c r="J85" s="838">
        <f ca="1">'LBO - Financials'!G34</f>
        <v>0</v>
      </c>
      <c r="K85" s="838">
        <f ca="1">'LBO - Financials'!H34</f>
        <v>0</v>
      </c>
      <c r="L85" s="838">
        <f ca="1">'LBO - Financials'!I34</f>
        <v>0</v>
      </c>
      <c r="M85" s="838">
        <f ca="1">'LBO - Financials'!J34</f>
        <v>0</v>
      </c>
      <c r="N85" s="838">
        <f ca="1">'LBO - Financials'!K34</f>
        <v>0</v>
      </c>
      <c r="O85" s="964">
        <f ca="1">'LBO - Financials'!L34</f>
        <v>0</v>
      </c>
      <c r="P85" s="950"/>
      <c r="Q85" s="951">
        <f t="shared" si="18"/>
        <v>1</v>
      </c>
      <c r="R85" s="952">
        <v>1</v>
      </c>
      <c r="S85" s="960"/>
      <c r="T85" s="960"/>
      <c r="U85" s="953"/>
      <c r="V85" s="953"/>
      <c r="W85" s="953"/>
      <c r="X85" s="953"/>
      <c r="Y85" s="953"/>
      <c r="Z85" s="953"/>
      <c r="AA85" s="953"/>
      <c r="AB85" s="953"/>
    </row>
    <row r="86" spans="1:28">
      <c r="A86" s="970"/>
      <c r="B86" s="896" t="s">
        <v>394</v>
      </c>
      <c r="C86" s="897"/>
      <c r="D86" s="897"/>
      <c r="E86" s="897"/>
      <c r="F86" s="897"/>
      <c r="G86" s="884"/>
      <c r="H86" s="884"/>
      <c r="I86" s="838">
        <f>'LBO - Financials'!F36</f>
        <v>0</v>
      </c>
      <c r="J86" s="838">
        <f ca="1">'LBO - Financials'!G36</f>
        <v>0</v>
      </c>
      <c r="K86" s="838">
        <f ca="1">'LBO - Financials'!H36</f>
        <v>0</v>
      </c>
      <c r="L86" s="838">
        <f ca="1">'LBO - Financials'!I36</f>
        <v>0</v>
      </c>
      <c r="M86" s="838">
        <f ca="1">'LBO - Financials'!J36</f>
        <v>0</v>
      </c>
      <c r="N86" s="838">
        <f ca="1">'LBO - Financials'!K36</f>
        <v>0</v>
      </c>
      <c r="O86" s="964">
        <f ca="1">'LBO - Financials'!L36</f>
        <v>0</v>
      </c>
      <c r="P86" s="950"/>
      <c r="Q86" s="951">
        <f t="shared" si="18"/>
        <v>1</v>
      </c>
      <c r="R86" s="952">
        <v>1</v>
      </c>
      <c r="S86" s="960"/>
      <c r="T86" s="960"/>
      <c r="U86" s="953"/>
      <c r="V86" s="953"/>
      <c r="W86" s="953"/>
      <c r="X86" s="953"/>
      <c r="Y86" s="953"/>
      <c r="Z86" s="953"/>
      <c r="AA86" s="953"/>
      <c r="AB86" s="953"/>
    </row>
    <row r="87" spans="1:28">
      <c r="A87" s="970"/>
      <c r="B87" s="896" t="s">
        <v>396</v>
      </c>
      <c r="C87" s="897"/>
      <c r="D87" s="897"/>
      <c r="E87" s="897"/>
      <c r="F87" s="897"/>
      <c r="G87" s="884"/>
      <c r="H87" s="884"/>
      <c r="I87" s="838">
        <f>'LBO - Financials'!F35</f>
        <v>0</v>
      </c>
      <c r="J87" s="838">
        <f ca="1">'LBO - Financials'!G35</f>
        <v>0</v>
      </c>
      <c r="K87" s="838">
        <f ca="1">'LBO - Financials'!H35</f>
        <v>0</v>
      </c>
      <c r="L87" s="838">
        <f ca="1">'LBO - Financials'!I35</f>
        <v>0</v>
      </c>
      <c r="M87" s="838">
        <f ca="1">'LBO - Financials'!J35</f>
        <v>0</v>
      </c>
      <c r="N87" s="838">
        <f ca="1">'LBO - Financials'!K35</f>
        <v>0</v>
      </c>
      <c r="O87" s="964">
        <f ca="1">'LBO - Financials'!L35</f>
        <v>0</v>
      </c>
      <c r="P87" s="950"/>
      <c r="Q87" s="951">
        <f t="shared" si="18"/>
        <v>1</v>
      </c>
      <c r="R87" s="952">
        <v>1</v>
      </c>
      <c r="S87" s="960"/>
      <c r="T87" s="960"/>
      <c r="U87" s="953"/>
      <c r="V87" s="953"/>
      <c r="W87" s="953"/>
      <c r="X87" s="953"/>
      <c r="Y87" s="953"/>
      <c r="Z87" s="953"/>
      <c r="AA87" s="953"/>
      <c r="AB87" s="953"/>
    </row>
    <row r="88" spans="1:28">
      <c r="A88" s="970"/>
      <c r="B88" s="998" t="s">
        <v>397</v>
      </c>
      <c r="C88" s="897"/>
      <c r="D88" s="897"/>
      <c r="E88" s="897"/>
      <c r="F88" s="897"/>
      <c r="G88" s="884"/>
      <c r="H88" s="884"/>
      <c r="I88" s="838">
        <f>'LBO - Financials'!F33</f>
        <v>0</v>
      </c>
      <c r="J88" s="838">
        <f ca="1">'LBO - Financials'!G33</f>
        <v>0</v>
      </c>
      <c r="K88" s="838">
        <f ca="1">'LBO - Financials'!H33</f>
        <v>0</v>
      </c>
      <c r="L88" s="838">
        <f ca="1">'LBO - Financials'!I33</f>
        <v>0</v>
      </c>
      <c r="M88" s="838">
        <f ca="1">'LBO - Financials'!J33</f>
        <v>0</v>
      </c>
      <c r="N88" s="838">
        <f ca="1">'LBO - Financials'!K33</f>
        <v>0</v>
      </c>
      <c r="O88" s="964">
        <f ca="1">'LBO - Financials'!L33</f>
        <v>0</v>
      </c>
      <c r="P88" s="950"/>
      <c r="Q88" s="951">
        <f t="shared" si="18"/>
        <v>1</v>
      </c>
      <c r="R88" s="952">
        <v>1</v>
      </c>
      <c r="S88" s="960"/>
      <c r="T88" s="960"/>
      <c r="U88" s="953"/>
      <c r="V88" s="953"/>
      <c r="W88" s="953"/>
      <c r="X88" s="953"/>
      <c r="Y88" s="953"/>
      <c r="Z88" s="953"/>
      <c r="AA88" s="953"/>
      <c r="AB88" s="953"/>
    </row>
    <row r="89" spans="1:28">
      <c r="A89" s="970"/>
      <c r="B89" s="896" t="s">
        <v>395</v>
      </c>
      <c r="C89" s="897"/>
      <c r="D89" s="897"/>
      <c r="E89" s="897"/>
      <c r="F89" s="884"/>
      <c r="G89" s="884"/>
      <c r="H89" s="884"/>
      <c r="I89" s="838">
        <f t="shared" ref="I89:O89" si="21">I74</f>
        <v>0</v>
      </c>
      <c r="J89" s="838">
        <f t="shared" ca="1" si="21"/>
        <v>0</v>
      </c>
      <c r="K89" s="838">
        <f t="shared" ca="1" si="21"/>
        <v>0</v>
      </c>
      <c r="L89" s="838">
        <f t="shared" ca="1" si="21"/>
        <v>0</v>
      </c>
      <c r="M89" s="838">
        <f t="shared" ca="1" si="21"/>
        <v>0</v>
      </c>
      <c r="N89" s="838">
        <f t="shared" ca="1" si="21"/>
        <v>0</v>
      </c>
      <c r="O89" s="964">
        <f t="shared" ca="1" si="21"/>
        <v>0</v>
      </c>
      <c r="P89" s="950"/>
      <c r="Q89" s="951">
        <f t="shared" si="18"/>
        <v>1</v>
      </c>
      <c r="R89" s="952">
        <v>1</v>
      </c>
      <c r="S89" s="960"/>
      <c r="T89" s="960"/>
      <c r="U89" s="953"/>
      <c r="V89" s="953"/>
      <c r="W89" s="953"/>
      <c r="X89" s="953"/>
      <c r="Y89" s="953"/>
      <c r="Z89" s="953"/>
      <c r="AA89" s="953"/>
      <c r="AB89" s="953"/>
    </row>
    <row r="90" spans="1:28">
      <c r="A90" s="970"/>
      <c r="B90" s="999" t="s">
        <v>393</v>
      </c>
      <c r="C90" s="1000">
        <f ca="1">IFERROR('LBO - Financials'!F39,0)</f>
        <v>0</v>
      </c>
      <c r="D90" s="1001"/>
      <c r="E90" s="1001"/>
      <c r="F90" s="1001"/>
      <c r="G90" s="1001"/>
      <c r="H90" s="1001">
        <f>SUM(H84:H89)</f>
        <v>0</v>
      </c>
      <c r="I90" s="1001">
        <f t="shared" ref="I90:O90" ca="1" si="22">SUM(I74:I89)</f>
        <v>-490.5</v>
      </c>
      <c r="J90" s="1001">
        <f t="shared" ca="1" si="22"/>
        <v>0</v>
      </c>
      <c r="K90" s="1001">
        <f t="shared" ca="1" si="22"/>
        <v>0</v>
      </c>
      <c r="L90" s="1001">
        <f t="shared" ca="1" si="22"/>
        <v>0</v>
      </c>
      <c r="M90" s="1001">
        <f t="shared" ca="1" si="22"/>
        <v>0</v>
      </c>
      <c r="N90" s="1001">
        <f t="shared" ca="1" si="22"/>
        <v>0</v>
      </c>
      <c r="O90" s="1002">
        <f t="shared" ca="1" si="22"/>
        <v>0</v>
      </c>
      <c r="P90" s="950"/>
      <c r="Q90" s="951">
        <f t="shared" si="18"/>
        <v>1</v>
      </c>
      <c r="R90" s="952">
        <v>1</v>
      </c>
      <c r="S90" s="960"/>
      <c r="T90" s="960"/>
      <c r="U90" s="953"/>
      <c r="V90" s="953"/>
      <c r="W90" s="953"/>
      <c r="X90" s="953"/>
      <c r="Y90" s="953"/>
      <c r="Z90" s="953"/>
      <c r="AA90" s="953"/>
      <c r="AB90" s="953"/>
    </row>
    <row r="91" spans="1:28">
      <c r="A91" s="970"/>
      <c r="B91" s="1003"/>
      <c r="C91" s="1003"/>
      <c r="D91" s="1003"/>
      <c r="E91" s="1003"/>
      <c r="F91" s="1003"/>
      <c r="G91" s="897"/>
      <c r="H91" s="897"/>
      <c r="I91" s="897"/>
      <c r="J91" s="897"/>
      <c r="K91" s="897"/>
      <c r="L91" s="897"/>
      <c r="M91" s="897"/>
      <c r="N91" s="897"/>
      <c r="O91" s="897"/>
      <c r="P91" s="950"/>
      <c r="Q91" s="951">
        <f t="shared" si="18"/>
        <v>0</v>
      </c>
      <c r="R91" s="952">
        <v>0</v>
      </c>
      <c r="S91" s="960"/>
      <c r="T91" s="960"/>
      <c r="U91" s="953"/>
      <c r="V91" s="953"/>
      <c r="W91" s="953"/>
      <c r="X91" s="953"/>
      <c r="Y91" s="953"/>
      <c r="Z91" s="953"/>
      <c r="AA91" s="953"/>
      <c r="AB91" s="953"/>
    </row>
    <row r="92" spans="1:28">
      <c r="A92" s="1004"/>
      <c r="B92" s="1005"/>
      <c r="C92" s="1006"/>
      <c r="D92" s="1005"/>
      <c r="E92" s="1005"/>
      <c r="F92" s="1005"/>
      <c r="G92" s="1005"/>
      <c r="H92" s="1005"/>
      <c r="I92" s="1005"/>
      <c r="J92" s="1005"/>
      <c r="K92" s="1005"/>
      <c r="L92" s="1005"/>
      <c r="M92" s="1005"/>
      <c r="N92" s="1005"/>
      <c r="O92" s="1005"/>
      <c r="P92" s="950"/>
      <c r="Q92" s="951">
        <f t="shared" si="18"/>
        <v>0</v>
      </c>
      <c r="R92" s="952">
        <v>0</v>
      </c>
      <c r="S92" s="1005"/>
      <c r="T92" s="1005"/>
      <c r="U92" s="953"/>
      <c r="V92" s="953"/>
      <c r="W92" s="953"/>
      <c r="X92" s="953"/>
      <c r="Y92" s="953"/>
      <c r="Z92" s="953"/>
      <c r="AA92" s="953"/>
      <c r="AB92" s="953"/>
    </row>
    <row r="93" spans="1:28">
      <c r="A93" s="970"/>
      <c r="B93" s="762" t="s">
        <v>392</v>
      </c>
      <c r="C93" s="762"/>
      <c r="D93" s="763"/>
      <c r="E93" s="763"/>
      <c r="F93" s="763"/>
      <c r="G93" s="763"/>
      <c r="H93" s="763"/>
      <c r="I93" s="763"/>
      <c r="J93" s="763"/>
      <c r="K93" s="763"/>
      <c r="L93" s="763"/>
      <c r="M93" s="763"/>
      <c r="N93" s="763"/>
      <c r="O93" s="763"/>
      <c r="P93" s="950"/>
      <c r="Q93" s="951">
        <f t="shared" si="18"/>
        <v>1</v>
      </c>
      <c r="R93" s="952">
        <v>1</v>
      </c>
      <c r="S93" s="953"/>
      <c r="T93" s="953"/>
      <c r="U93" s="953"/>
      <c r="V93" s="953"/>
      <c r="W93" s="953"/>
      <c r="X93" s="953"/>
      <c r="Y93" s="953"/>
      <c r="Z93" s="953"/>
      <c r="AA93" s="953"/>
      <c r="AB93" s="953"/>
    </row>
    <row r="94" spans="1:28">
      <c r="A94" s="932"/>
      <c r="B94" s="863"/>
      <c r="C94" s="863"/>
      <c r="D94" s="863"/>
      <c r="E94" s="863"/>
      <c r="F94" s="863"/>
      <c r="G94" s="863"/>
      <c r="H94" s="863"/>
      <c r="I94" s="863"/>
      <c r="J94" s="948" t="s">
        <v>415</v>
      </c>
      <c r="K94" s="948"/>
      <c r="L94" s="948"/>
      <c r="M94" s="948"/>
      <c r="N94" s="948"/>
      <c r="O94" s="948"/>
      <c r="P94" s="950"/>
      <c r="Q94" s="951">
        <f t="shared" si="18"/>
        <v>0</v>
      </c>
      <c r="R94" s="952">
        <v>0</v>
      </c>
      <c r="S94" s="953"/>
      <c r="T94" s="953"/>
      <c r="U94" s="953"/>
      <c r="V94" s="953"/>
      <c r="W94" s="953"/>
      <c r="X94" s="953"/>
      <c r="Y94" s="953"/>
      <c r="Z94" s="953"/>
      <c r="AA94" s="953"/>
      <c r="AB94" s="953"/>
    </row>
    <row r="95" spans="1:28" ht="15" thickBot="1">
      <c r="A95" s="932"/>
      <c r="B95" s="955" t="s">
        <v>28</v>
      </c>
      <c r="C95" s="955"/>
      <c r="D95" s="955">
        <f t="shared" ref="D95:O95" si="23">D49</f>
        <v>2014</v>
      </c>
      <c r="E95" s="955">
        <f t="shared" si="23"/>
        <v>2015</v>
      </c>
      <c r="F95" s="955">
        <f t="shared" si="23"/>
        <v>2016</v>
      </c>
      <c r="G95" s="955">
        <f t="shared" si="23"/>
        <v>2017</v>
      </c>
      <c r="H95" s="955">
        <f t="shared" si="23"/>
        <v>2018</v>
      </c>
      <c r="I95" s="956">
        <f t="shared" si="23"/>
        <v>2019</v>
      </c>
      <c r="J95" s="956">
        <f t="shared" si="23"/>
        <v>2020</v>
      </c>
      <c r="K95" s="956">
        <f t="shared" si="23"/>
        <v>2021</v>
      </c>
      <c r="L95" s="956">
        <f t="shared" si="23"/>
        <v>2022</v>
      </c>
      <c r="M95" s="956">
        <f t="shared" si="23"/>
        <v>2023</v>
      </c>
      <c r="N95" s="956">
        <f t="shared" si="23"/>
        <v>2024</v>
      </c>
      <c r="O95" s="956">
        <f t="shared" si="23"/>
        <v>2025</v>
      </c>
      <c r="P95" s="950"/>
      <c r="Q95" s="951">
        <f t="shared" si="18"/>
        <v>1</v>
      </c>
      <c r="R95" s="952">
        <v>1</v>
      </c>
      <c r="S95" s="953"/>
      <c r="T95" s="953"/>
      <c r="U95" s="953"/>
      <c r="V95" s="953"/>
      <c r="W95" s="953"/>
      <c r="X95" s="953"/>
      <c r="Y95" s="953"/>
      <c r="Z95" s="953"/>
      <c r="AA95" s="953"/>
      <c r="AB95" s="953"/>
    </row>
    <row r="96" spans="1:28" ht="5.4" customHeight="1">
      <c r="A96" s="958"/>
      <c r="B96" s="1068"/>
      <c r="C96" s="959"/>
      <c r="D96" s="959"/>
      <c r="E96" s="959"/>
      <c r="F96" s="959"/>
      <c r="G96" s="959"/>
      <c r="H96" s="959"/>
      <c r="I96" s="959"/>
      <c r="J96" s="959"/>
      <c r="K96" s="959"/>
      <c r="L96" s="959"/>
      <c r="M96" s="959"/>
      <c r="N96" s="959"/>
      <c r="O96" s="959"/>
      <c r="P96" s="950"/>
      <c r="Q96" s="951">
        <f t="shared" si="18"/>
        <v>0</v>
      </c>
      <c r="R96" s="952">
        <v>0</v>
      </c>
      <c r="S96" s="940"/>
      <c r="T96" s="940"/>
      <c r="U96" s="953"/>
      <c r="V96" s="953"/>
      <c r="W96" s="953"/>
      <c r="X96" s="953"/>
      <c r="Y96" s="953"/>
      <c r="Z96" s="953"/>
      <c r="AA96" s="953"/>
      <c r="AB96" s="953"/>
    </row>
    <row r="97" spans="1:28">
      <c r="A97" s="960"/>
      <c r="B97" s="1003" t="s">
        <v>391</v>
      </c>
      <c r="C97" s="962"/>
      <c r="D97" s="962"/>
      <c r="E97" s="962"/>
      <c r="F97" s="962"/>
      <c r="G97" s="962"/>
      <c r="H97" s="962"/>
      <c r="I97" s="942"/>
      <c r="J97" s="942"/>
      <c r="K97" s="942"/>
      <c r="L97" s="942"/>
      <c r="M97" s="942"/>
      <c r="N97" s="942"/>
      <c r="O97" s="942"/>
      <c r="P97" s="950"/>
      <c r="Q97" s="951">
        <f t="shared" si="18"/>
        <v>1</v>
      </c>
      <c r="R97" s="952">
        <v>1</v>
      </c>
      <c r="S97" s="960"/>
      <c r="T97" s="960"/>
      <c r="U97" s="953"/>
      <c r="V97" s="953"/>
      <c r="W97" s="953"/>
      <c r="X97" s="953"/>
      <c r="Y97" s="953"/>
      <c r="Z97" s="953"/>
      <c r="AA97" s="953"/>
      <c r="AB97" s="953"/>
    </row>
    <row r="98" spans="1:28">
      <c r="A98" s="960"/>
      <c r="B98" s="962" t="s">
        <v>381</v>
      </c>
      <c r="C98" s="962"/>
      <c r="D98" s="962"/>
      <c r="E98" s="962"/>
      <c r="F98" s="962"/>
      <c r="G98" s="962"/>
      <c r="H98" s="962"/>
      <c r="I98" s="838">
        <f>'LBO - Financials'!F101</f>
        <v>0</v>
      </c>
      <c r="J98" s="838">
        <f ca="1">'LBO - Financials'!G101</f>
        <v>0</v>
      </c>
      <c r="K98" s="838">
        <f ca="1">'LBO - Financials'!H101</f>
        <v>0</v>
      </c>
      <c r="L98" s="838">
        <f ca="1">'LBO - Financials'!I101</f>
        <v>0</v>
      </c>
      <c r="M98" s="838">
        <f ca="1">'LBO - Financials'!J101</f>
        <v>0</v>
      </c>
      <c r="N98" s="838">
        <f ca="1">'LBO - Financials'!K101</f>
        <v>0</v>
      </c>
      <c r="O98" s="838">
        <f ca="1">'LBO - Financials'!L101</f>
        <v>0</v>
      </c>
      <c r="P98" s="950"/>
      <c r="Q98" s="951">
        <f t="shared" si="18"/>
        <v>1</v>
      </c>
      <c r="R98" s="952">
        <v>1</v>
      </c>
      <c r="S98" s="960"/>
      <c r="T98" s="960"/>
      <c r="U98" s="953"/>
      <c r="V98" s="953"/>
      <c r="W98" s="953"/>
      <c r="X98" s="953"/>
      <c r="Y98" s="953"/>
      <c r="Z98" s="953"/>
      <c r="AA98" s="953"/>
      <c r="AB98" s="953"/>
    </row>
    <row r="99" spans="1:28">
      <c r="A99" s="960"/>
      <c r="B99" s="962" t="s">
        <v>380</v>
      </c>
      <c r="C99" s="962"/>
      <c r="D99" s="962"/>
      <c r="E99" s="962"/>
      <c r="F99" s="962"/>
      <c r="G99" s="962"/>
      <c r="H99" s="962"/>
      <c r="I99" s="838">
        <f>'LBO - Financials'!F102</f>
        <v>0</v>
      </c>
      <c r="J99" s="838">
        <f ca="1">'LBO - Financials'!G102</f>
        <v>0</v>
      </c>
      <c r="K99" s="838">
        <f ca="1">'LBO - Financials'!H102</f>
        <v>0</v>
      </c>
      <c r="L99" s="838">
        <f ca="1">'LBO - Financials'!I102</f>
        <v>0</v>
      </c>
      <c r="M99" s="838">
        <f ca="1">'LBO - Financials'!J102</f>
        <v>0</v>
      </c>
      <c r="N99" s="838">
        <f ca="1">'LBO - Financials'!K102</f>
        <v>0</v>
      </c>
      <c r="O99" s="838">
        <f ca="1">'LBO - Financials'!L102</f>
        <v>0</v>
      </c>
      <c r="P99" s="950"/>
      <c r="Q99" s="951">
        <f t="shared" si="18"/>
        <v>1</v>
      </c>
      <c r="R99" s="952">
        <v>1</v>
      </c>
      <c r="S99" s="960"/>
      <c r="T99" s="960"/>
      <c r="U99" s="953"/>
      <c r="V99" s="953"/>
      <c r="W99" s="953"/>
      <c r="X99" s="953"/>
      <c r="Y99" s="953"/>
      <c r="Z99" s="953"/>
      <c r="AA99" s="953"/>
      <c r="AB99" s="953"/>
    </row>
    <row r="100" spans="1:28">
      <c r="A100" s="960"/>
      <c r="B100" s="965" t="s">
        <v>390</v>
      </c>
      <c r="C100" s="965"/>
      <c r="D100" s="965"/>
      <c r="E100" s="965"/>
      <c r="F100" s="965"/>
      <c r="G100" s="965"/>
      <c r="H100" s="965"/>
      <c r="I100" s="966">
        <f ca="1">'LBO - Financials'!F103</f>
        <v>0</v>
      </c>
      <c r="J100" s="966">
        <f ca="1">'LBO - Financials'!G103</f>
        <v>0</v>
      </c>
      <c r="K100" s="966">
        <f ca="1">'LBO - Financials'!H103</f>
        <v>0</v>
      </c>
      <c r="L100" s="966">
        <f ca="1">'LBO - Financials'!I103</f>
        <v>0</v>
      </c>
      <c r="M100" s="966">
        <f ca="1">'LBO - Financials'!J103</f>
        <v>0</v>
      </c>
      <c r="N100" s="966">
        <f ca="1">'LBO - Financials'!K103</f>
        <v>0</v>
      </c>
      <c r="O100" s="966">
        <f ca="1">'LBO - Financials'!L103</f>
        <v>0</v>
      </c>
      <c r="P100" s="950"/>
      <c r="Q100" s="951">
        <f t="shared" si="18"/>
        <v>1</v>
      </c>
      <c r="R100" s="952">
        <v>1</v>
      </c>
      <c r="S100" s="960"/>
      <c r="T100" s="960"/>
      <c r="U100" s="953"/>
      <c r="V100" s="953"/>
      <c r="W100" s="953"/>
      <c r="X100" s="953"/>
      <c r="Y100" s="953"/>
      <c r="Z100" s="953"/>
      <c r="AA100" s="953"/>
      <c r="AB100" s="953"/>
    </row>
    <row r="101" spans="1:28">
      <c r="A101" s="960"/>
      <c r="B101" s="962" t="s">
        <v>389</v>
      </c>
      <c r="C101" s="962"/>
      <c r="D101" s="962"/>
      <c r="E101" s="962"/>
      <c r="F101" s="962"/>
      <c r="G101" s="962"/>
      <c r="H101" s="962"/>
      <c r="I101" s="838">
        <f>'LBO - Financials'!F$132</f>
        <v>0</v>
      </c>
      <c r="J101" s="838">
        <f ca="1">'LBO - Financials'!G$132</f>
        <v>0</v>
      </c>
      <c r="K101" s="838">
        <f ca="1">'LBO - Financials'!H$132</f>
        <v>0</v>
      </c>
      <c r="L101" s="838">
        <f ca="1">'LBO - Financials'!I$132</f>
        <v>0</v>
      </c>
      <c r="M101" s="838">
        <f ca="1">'LBO - Financials'!J$132</f>
        <v>0</v>
      </c>
      <c r="N101" s="838">
        <f ca="1">'LBO - Financials'!K$132</f>
        <v>0</v>
      </c>
      <c r="O101" s="838">
        <f ca="1">'LBO - Financials'!L$132</f>
        <v>0</v>
      </c>
      <c r="P101" s="950"/>
      <c r="Q101" s="951">
        <f t="shared" si="18"/>
        <v>1</v>
      </c>
      <c r="R101" s="952">
        <v>1</v>
      </c>
      <c r="S101" s="960"/>
      <c r="T101" s="960"/>
      <c r="U101" s="953"/>
      <c r="V101" s="953"/>
      <c r="W101" s="953"/>
      <c r="X101" s="953"/>
      <c r="Y101" s="953"/>
      <c r="Z101" s="953"/>
      <c r="AA101" s="953"/>
      <c r="AB101" s="953"/>
    </row>
    <row r="102" spans="1:28" ht="5.4" customHeight="1">
      <c r="A102" s="960"/>
      <c r="B102" s="962"/>
      <c r="C102" s="962"/>
      <c r="D102" s="962"/>
      <c r="E102" s="962"/>
      <c r="F102" s="962"/>
      <c r="G102" s="962"/>
      <c r="H102" s="962"/>
      <c r="I102" s="942"/>
      <c r="J102" s="942"/>
      <c r="K102" s="942"/>
      <c r="L102" s="942"/>
      <c r="M102" s="942"/>
      <c r="N102" s="942"/>
      <c r="O102" s="942"/>
      <c r="P102" s="950"/>
      <c r="Q102" s="951">
        <f t="shared" si="18"/>
        <v>0</v>
      </c>
      <c r="R102" s="952">
        <v>0</v>
      </c>
      <c r="S102" s="960"/>
      <c r="T102" s="960"/>
      <c r="U102" s="953"/>
      <c r="V102" s="953"/>
      <c r="W102" s="953"/>
      <c r="X102" s="953"/>
      <c r="Y102" s="953"/>
      <c r="Z102" s="953"/>
      <c r="AA102" s="953"/>
      <c r="AB102" s="953"/>
    </row>
    <row r="103" spans="1:28">
      <c r="A103" s="960"/>
      <c r="B103" s="1003" t="s">
        <v>388</v>
      </c>
      <c r="C103" s="962"/>
      <c r="D103" s="962"/>
      <c r="E103" s="962"/>
      <c r="F103" s="962"/>
      <c r="G103" s="962"/>
      <c r="H103" s="962"/>
      <c r="I103" s="942"/>
      <c r="J103" s="942"/>
      <c r="K103" s="942"/>
      <c r="L103" s="942"/>
      <c r="M103" s="942"/>
      <c r="N103" s="942"/>
      <c r="O103" s="942"/>
      <c r="P103" s="950"/>
      <c r="Q103" s="951">
        <f t="shared" si="18"/>
        <v>1</v>
      </c>
      <c r="R103" s="952">
        <v>1</v>
      </c>
      <c r="S103" s="960"/>
      <c r="T103" s="960"/>
      <c r="U103" s="953"/>
      <c r="V103" s="953"/>
      <c r="W103" s="953"/>
      <c r="X103" s="953"/>
      <c r="Y103" s="953"/>
      <c r="Z103" s="953"/>
      <c r="AA103" s="953"/>
      <c r="AB103" s="953"/>
    </row>
    <row r="104" spans="1:28">
      <c r="A104" s="960"/>
      <c r="B104" s="962" t="s">
        <v>381</v>
      </c>
      <c r="C104" s="962"/>
      <c r="D104" s="962"/>
      <c r="E104" s="962"/>
      <c r="F104" s="962"/>
      <c r="G104" s="962"/>
      <c r="H104" s="962"/>
      <c r="I104" s="838">
        <f>'LBO - Financials'!F96</f>
        <v>0</v>
      </c>
      <c r="J104" s="838">
        <f ca="1">'LBO - Financials'!G96</f>
        <v>0</v>
      </c>
      <c r="K104" s="838">
        <f ca="1">'LBO - Financials'!H96</f>
        <v>0</v>
      </c>
      <c r="L104" s="838">
        <f ca="1">'LBO - Financials'!I96</f>
        <v>0</v>
      </c>
      <c r="M104" s="838">
        <f ca="1">'LBO - Financials'!J96</f>
        <v>0</v>
      </c>
      <c r="N104" s="838">
        <f ca="1">'LBO - Financials'!K96</f>
        <v>0</v>
      </c>
      <c r="O104" s="838">
        <f ca="1">'LBO - Financials'!L96</f>
        <v>0</v>
      </c>
      <c r="P104" s="950"/>
      <c r="Q104" s="951">
        <f t="shared" si="18"/>
        <v>1</v>
      </c>
      <c r="R104" s="952">
        <v>1</v>
      </c>
      <c r="S104" s="960"/>
      <c r="T104" s="960"/>
      <c r="U104" s="953"/>
      <c r="V104" s="953"/>
      <c r="W104" s="953"/>
      <c r="X104" s="953"/>
      <c r="Y104" s="953"/>
      <c r="Z104" s="953"/>
      <c r="AA104" s="953"/>
      <c r="AB104" s="953"/>
    </row>
    <row r="105" spans="1:28">
      <c r="A105" s="960"/>
      <c r="B105" s="962" t="s">
        <v>380</v>
      </c>
      <c r="C105" s="962"/>
      <c r="D105" s="962"/>
      <c r="E105" s="962"/>
      <c r="F105" s="962"/>
      <c r="G105" s="962"/>
      <c r="H105" s="962"/>
      <c r="I105" s="838">
        <f>'LBO - Financials'!F97</f>
        <v>0</v>
      </c>
      <c r="J105" s="838">
        <f ca="1">'LBO - Financials'!G97</f>
        <v>0</v>
      </c>
      <c r="K105" s="838">
        <f ca="1">'LBO - Financials'!H97</f>
        <v>0</v>
      </c>
      <c r="L105" s="838">
        <f ca="1">'LBO - Financials'!I97</f>
        <v>0</v>
      </c>
      <c r="M105" s="838">
        <f ca="1">'LBO - Financials'!J97</f>
        <v>0</v>
      </c>
      <c r="N105" s="838">
        <f ca="1">'LBO - Financials'!K97</f>
        <v>0</v>
      </c>
      <c r="O105" s="838">
        <f ca="1">'LBO - Financials'!L97</f>
        <v>0</v>
      </c>
      <c r="P105" s="950"/>
      <c r="Q105" s="951">
        <f t="shared" si="18"/>
        <v>1</v>
      </c>
      <c r="R105" s="952">
        <v>1</v>
      </c>
      <c r="S105" s="960"/>
      <c r="T105" s="960"/>
      <c r="U105" s="953"/>
      <c r="V105" s="953"/>
      <c r="W105" s="953"/>
      <c r="X105" s="953"/>
      <c r="Y105" s="953"/>
      <c r="Z105" s="953"/>
      <c r="AA105" s="953"/>
      <c r="AB105" s="953"/>
    </row>
    <row r="106" spans="1:28">
      <c r="A106" s="960"/>
      <c r="B106" s="967" t="s">
        <v>387</v>
      </c>
      <c r="C106" s="967"/>
      <c r="D106" s="967"/>
      <c r="E106" s="967"/>
      <c r="F106" s="967"/>
      <c r="G106" s="967"/>
      <c r="H106" s="967"/>
      <c r="I106" s="966">
        <f ca="1">'LBO - Financials'!F98</f>
        <v>0</v>
      </c>
      <c r="J106" s="966">
        <f ca="1">'LBO - Financials'!G98</f>
        <v>0</v>
      </c>
      <c r="K106" s="966">
        <f ca="1">'LBO - Financials'!H98</f>
        <v>0</v>
      </c>
      <c r="L106" s="966">
        <f ca="1">'LBO - Financials'!I98</f>
        <v>0</v>
      </c>
      <c r="M106" s="966">
        <f ca="1">'LBO - Financials'!J98</f>
        <v>0</v>
      </c>
      <c r="N106" s="966">
        <f ca="1">'LBO - Financials'!K98</f>
        <v>0</v>
      </c>
      <c r="O106" s="966">
        <f ca="1">'LBO - Financials'!L98</f>
        <v>0</v>
      </c>
      <c r="P106" s="950"/>
      <c r="Q106" s="951">
        <f t="shared" si="18"/>
        <v>1</v>
      </c>
      <c r="R106" s="952">
        <v>1</v>
      </c>
      <c r="S106" s="960"/>
      <c r="T106" s="960"/>
      <c r="U106" s="953"/>
      <c r="V106" s="953"/>
      <c r="W106" s="953"/>
      <c r="X106" s="953"/>
      <c r="Y106" s="953"/>
      <c r="Z106" s="953"/>
      <c r="AA106" s="953"/>
      <c r="AB106" s="953"/>
    </row>
    <row r="107" spans="1:28">
      <c r="A107" s="960"/>
      <c r="B107" s="962" t="s">
        <v>386</v>
      </c>
      <c r="C107" s="962"/>
      <c r="D107" s="962"/>
      <c r="E107" s="962"/>
      <c r="F107" s="962"/>
      <c r="G107" s="962"/>
      <c r="H107" s="962"/>
      <c r="I107" s="838">
        <f>'LBO - Financials'!F133</f>
        <v>0</v>
      </c>
      <c r="J107" s="838">
        <f ca="1">'LBO - Financials'!G133</f>
        <v>0</v>
      </c>
      <c r="K107" s="838">
        <f ca="1">'LBO - Financials'!H133</f>
        <v>0</v>
      </c>
      <c r="L107" s="838">
        <f ca="1">'LBO - Financials'!I133</f>
        <v>0</v>
      </c>
      <c r="M107" s="838">
        <f ca="1">'LBO - Financials'!J133</f>
        <v>0</v>
      </c>
      <c r="N107" s="838">
        <f ca="1">'LBO - Financials'!K133</f>
        <v>0</v>
      </c>
      <c r="O107" s="838">
        <f ca="1">'LBO - Financials'!L133</f>
        <v>0</v>
      </c>
      <c r="P107" s="950"/>
      <c r="Q107" s="951">
        <f t="shared" si="18"/>
        <v>1</v>
      </c>
      <c r="R107" s="952">
        <v>1</v>
      </c>
      <c r="S107" s="960"/>
      <c r="T107" s="960"/>
      <c r="U107" s="953"/>
      <c r="V107" s="953"/>
      <c r="W107" s="953"/>
      <c r="X107" s="953"/>
      <c r="Y107" s="953"/>
      <c r="Z107" s="953"/>
      <c r="AA107" s="953"/>
      <c r="AB107" s="953"/>
    </row>
    <row r="108" spans="1:28" ht="5.4" customHeight="1">
      <c r="A108" s="960"/>
      <c r="B108" s="962"/>
      <c r="C108" s="962"/>
      <c r="D108" s="962"/>
      <c r="E108" s="962"/>
      <c r="F108" s="962"/>
      <c r="G108" s="962"/>
      <c r="H108" s="962"/>
      <c r="I108" s="942"/>
      <c r="J108" s="942"/>
      <c r="K108" s="942"/>
      <c r="L108" s="942"/>
      <c r="M108" s="942"/>
      <c r="N108" s="942"/>
      <c r="O108" s="942"/>
      <c r="P108" s="950"/>
      <c r="Q108" s="951">
        <f t="shared" si="18"/>
        <v>0</v>
      </c>
      <c r="R108" s="952">
        <v>0</v>
      </c>
      <c r="S108" s="960"/>
      <c r="T108" s="960"/>
      <c r="U108" s="953"/>
      <c r="V108" s="953"/>
      <c r="W108" s="953"/>
      <c r="X108" s="953"/>
      <c r="Y108" s="953"/>
      <c r="Z108" s="953"/>
      <c r="AA108" s="953"/>
      <c r="AB108" s="953"/>
    </row>
    <row r="109" spans="1:28">
      <c r="A109" s="960"/>
      <c r="B109" s="1003" t="s">
        <v>385</v>
      </c>
      <c r="C109" s="962"/>
      <c r="D109" s="962"/>
      <c r="E109" s="962"/>
      <c r="F109" s="962"/>
      <c r="G109" s="962"/>
      <c r="H109" s="962"/>
      <c r="I109" s="942"/>
      <c r="J109" s="942"/>
      <c r="K109" s="942"/>
      <c r="L109" s="942"/>
      <c r="M109" s="942"/>
      <c r="N109" s="942"/>
      <c r="O109" s="942"/>
      <c r="P109" s="950"/>
      <c r="Q109" s="951">
        <f t="shared" si="18"/>
        <v>1</v>
      </c>
      <c r="R109" s="952">
        <v>1</v>
      </c>
      <c r="S109" s="960"/>
      <c r="T109" s="960"/>
      <c r="U109" s="953"/>
      <c r="V109" s="953"/>
      <c r="W109" s="953"/>
      <c r="X109" s="953"/>
      <c r="Y109" s="953"/>
      <c r="Z109" s="953"/>
      <c r="AA109" s="953"/>
      <c r="AB109" s="953"/>
    </row>
    <row r="110" spans="1:28">
      <c r="A110" s="960"/>
      <c r="B110" s="962" t="s">
        <v>381</v>
      </c>
      <c r="C110" s="962"/>
      <c r="D110" s="962"/>
      <c r="E110" s="962"/>
      <c r="F110" s="962"/>
      <c r="G110" s="962"/>
      <c r="H110" s="884"/>
      <c r="I110" s="838">
        <f>'LBO - Financials'!F106</f>
        <v>0</v>
      </c>
      <c r="J110" s="838">
        <f ca="1">'LBO - Financials'!G106</f>
        <v>0</v>
      </c>
      <c r="K110" s="838">
        <f ca="1">'LBO - Financials'!H106</f>
        <v>0</v>
      </c>
      <c r="L110" s="838">
        <f ca="1">'LBO - Financials'!I106</f>
        <v>0</v>
      </c>
      <c r="M110" s="838">
        <f ca="1">'LBO - Financials'!J106</f>
        <v>0</v>
      </c>
      <c r="N110" s="838">
        <f ca="1">'LBO - Financials'!K106</f>
        <v>0</v>
      </c>
      <c r="O110" s="838">
        <f ca="1">'LBO - Financials'!L106</f>
        <v>0</v>
      </c>
      <c r="P110" s="950"/>
      <c r="Q110" s="951">
        <f t="shared" si="18"/>
        <v>1</v>
      </c>
      <c r="R110" s="952">
        <v>1</v>
      </c>
      <c r="S110" s="960"/>
      <c r="T110" s="960"/>
      <c r="U110" s="953"/>
      <c r="V110" s="953"/>
      <c r="W110" s="953"/>
      <c r="X110" s="953"/>
      <c r="Y110" s="953"/>
      <c r="Z110" s="953"/>
      <c r="AA110" s="953"/>
      <c r="AB110" s="953"/>
    </row>
    <row r="111" spans="1:28">
      <c r="A111" s="960"/>
      <c r="B111" s="962" t="s">
        <v>380</v>
      </c>
      <c r="C111" s="962"/>
      <c r="D111" s="962"/>
      <c r="E111" s="962"/>
      <c r="F111" s="962"/>
      <c r="G111" s="962"/>
      <c r="H111" s="884"/>
      <c r="I111" s="838">
        <f>'LBO - Financials'!F107</f>
        <v>0</v>
      </c>
      <c r="J111" s="838">
        <f ca="1">'LBO - Financials'!G107</f>
        <v>0</v>
      </c>
      <c r="K111" s="838">
        <f ca="1">'LBO - Financials'!H107</f>
        <v>0</v>
      </c>
      <c r="L111" s="838">
        <f ca="1">'LBO - Financials'!I107</f>
        <v>0</v>
      </c>
      <c r="M111" s="838">
        <f ca="1">'LBO - Financials'!J107</f>
        <v>0</v>
      </c>
      <c r="N111" s="838">
        <f ca="1">'LBO - Financials'!K107</f>
        <v>0</v>
      </c>
      <c r="O111" s="838">
        <f ca="1">'LBO - Financials'!L107</f>
        <v>0</v>
      </c>
      <c r="P111" s="950"/>
      <c r="Q111" s="951">
        <f t="shared" si="18"/>
        <v>1</v>
      </c>
      <c r="R111" s="952">
        <v>1</v>
      </c>
      <c r="S111" s="960"/>
      <c r="T111" s="960"/>
      <c r="U111" s="953"/>
      <c r="V111" s="953"/>
      <c r="W111" s="953"/>
      <c r="X111" s="953"/>
      <c r="Y111" s="953"/>
      <c r="Z111" s="953"/>
      <c r="AA111" s="953"/>
      <c r="AB111" s="953"/>
    </row>
    <row r="112" spans="1:28">
      <c r="A112" s="960"/>
      <c r="B112" s="967" t="s">
        <v>384</v>
      </c>
      <c r="C112" s="967"/>
      <c r="D112" s="967"/>
      <c r="E112" s="967"/>
      <c r="F112" s="967"/>
      <c r="G112" s="967"/>
      <c r="H112" s="968"/>
      <c r="I112" s="966">
        <f ca="1">'LBO - Financials'!F108</f>
        <v>0</v>
      </c>
      <c r="J112" s="966">
        <f ca="1">'LBO - Financials'!G108</f>
        <v>0</v>
      </c>
      <c r="K112" s="966">
        <f ca="1">'LBO - Financials'!H108</f>
        <v>0</v>
      </c>
      <c r="L112" s="966">
        <f ca="1">'LBO - Financials'!I108</f>
        <v>0</v>
      </c>
      <c r="M112" s="966">
        <f ca="1">'LBO - Financials'!J108</f>
        <v>0</v>
      </c>
      <c r="N112" s="966">
        <f ca="1">'LBO - Financials'!K108</f>
        <v>0</v>
      </c>
      <c r="O112" s="966">
        <f ca="1">'LBO - Financials'!L108</f>
        <v>0</v>
      </c>
      <c r="P112" s="950"/>
      <c r="Q112" s="951">
        <f t="shared" si="18"/>
        <v>1</v>
      </c>
      <c r="R112" s="952">
        <v>1</v>
      </c>
      <c r="S112" s="960"/>
      <c r="T112" s="960"/>
      <c r="U112" s="953"/>
      <c r="V112" s="953"/>
      <c r="W112" s="953"/>
      <c r="X112" s="953"/>
      <c r="Y112" s="953"/>
      <c r="Z112" s="953"/>
      <c r="AA112" s="953"/>
      <c r="AB112" s="953"/>
    </row>
    <row r="113" spans="1:28">
      <c r="A113" s="960"/>
      <c r="B113" s="962" t="s">
        <v>383</v>
      </c>
      <c r="C113" s="962"/>
      <c r="D113" s="962"/>
      <c r="E113" s="962"/>
      <c r="F113" s="962"/>
      <c r="G113" s="962"/>
      <c r="H113" s="962"/>
      <c r="I113" s="838">
        <f>'LBO - Financials'!F134</f>
        <v>0</v>
      </c>
      <c r="J113" s="838">
        <f ca="1">'LBO - Financials'!G134</f>
        <v>0</v>
      </c>
      <c r="K113" s="838">
        <f ca="1">'LBO - Financials'!H134</f>
        <v>0</v>
      </c>
      <c r="L113" s="838">
        <f ca="1">'LBO - Financials'!I134</f>
        <v>0</v>
      </c>
      <c r="M113" s="838">
        <f ca="1">'LBO - Financials'!J134</f>
        <v>0</v>
      </c>
      <c r="N113" s="838">
        <f ca="1">'LBO - Financials'!K134</f>
        <v>0</v>
      </c>
      <c r="O113" s="838">
        <f ca="1">'LBO - Financials'!L134</f>
        <v>0</v>
      </c>
      <c r="P113" s="950"/>
      <c r="Q113" s="951">
        <f t="shared" si="18"/>
        <v>1</v>
      </c>
      <c r="R113" s="952">
        <v>1</v>
      </c>
      <c r="S113" s="960"/>
      <c r="T113" s="960"/>
      <c r="U113" s="953"/>
      <c r="V113" s="953"/>
      <c r="W113" s="953"/>
      <c r="X113" s="953"/>
      <c r="Y113" s="953"/>
      <c r="Z113" s="953"/>
      <c r="AA113" s="953"/>
      <c r="AB113" s="953"/>
    </row>
    <row r="114" spans="1:28" ht="3.6" customHeight="1">
      <c r="A114" s="960"/>
      <c r="B114" s="962"/>
      <c r="C114" s="962"/>
      <c r="D114" s="962"/>
      <c r="E114" s="962"/>
      <c r="F114" s="962"/>
      <c r="G114" s="962"/>
      <c r="H114" s="962"/>
      <c r="I114" s="838"/>
      <c r="J114" s="838"/>
      <c r="K114" s="838"/>
      <c r="L114" s="838"/>
      <c r="M114" s="838"/>
      <c r="N114" s="838"/>
      <c r="O114" s="838"/>
      <c r="P114" s="950"/>
      <c r="Q114" s="951">
        <f t="shared" si="18"/>
        <v>0</v>
      </c>
      <c r="R114" s="952">
        <v>0</v>
      </c>
      <c r="S114" s="960"/>
      <c r="T114" s="960"/>
      <c r="U114" s="953"/>
      <c r="V114" s="953"/>
      <c r="W114" s="953"/>
      <c r="X114" s="953"/>
      <c r="Y114" s="953"/>
      <c r="Z114" s="953"/>
      <c r="AA114" s="953"/>
      <c r="AB114" s="953"/>
    </row>
    <row r="115" spans="1:28">
      <c r="A115" s="960"/>
      <c r="B115" s="1003" t="s">
        <v>382</v>
      </c>
      <c r="C115" s="962"/>
      <c r="D115" s="962"/>
      <c r="E115" s="962"/>
      <c r="F115" s="962"/>
      <c r="G115" s="962"/>
      <c r="H115" s="962"/>
      <c r="I115" s="942"/>
      <c r="J115" s="942"/>
      <c r="K115" s="942"/>
      <c r="L115" s="942"/>
      <c r="M115" s="942"/>
      <c r="N115" s="942"/>
      <c r="O115" s="942"/>
      <c r="P115" s="950"/>
      <c r="Q115" s="951">
        <f t="shared" si="18"/>
        <v>1</v>
      </c>
      <c r="R115" s="952">
        <v>1</v>
      </c>
      <c r="S115" s="960"/>
      <c r="T115" s="960"/>
      <c r="U115" s="953"/>
      <c r="V115" s="953"/>
      <c r="W115" s="953"/>
      <c r="X115" s="953"/>
      <c r="Y115" s="953"/>
      <c r="Z115" s="953"/>
      <c r="AA115" s="953"/>
      <c r="AB115" s="953"/>
    </row>
    <row r="116" spans="1:28">
      <c r="A116" s="960"/>
      <c r="B116" s="962" t="s">
        <v>381</v>
      </c>
      <c r="C116" s="962"/>
      <c r="D116" s="962"/>
      <c r="E116" s="962"/>
      <c r="F116" s="962"/>
      <c r="G116" s="962"/>
      <c r="H116" s="884"/>
      <c r="I116" s="838">
        <f>'LBO - Financials'!F111</f>
        <v>0</v>
      </c>
      <c r="J116" s="838">
        <f ca="1">'LBO - Financials'!G111</f>
        <v>0</v>
      </c>
      <c r="K116" s="838">
        <f ca="1">'LBO - Financials'!H111</f>
        <v>0</v>
      </c>
      <c r="L116" s="838">
        <f ca="1">'LBO - Financials'!I111</f>
        <v>0</v>
      </c>
      <c r="M116" s="838">
        <f ca="1">'LBO - Financials'!J111</f>
        <v>0</v>
      </c>
      <c r="N116" s="838">
        <f ca="1">'LBO - Financials'!K111</f>
        <v>0</v>
      </c>
      <c r="O116" s="838">
        <f ca="1">'LBO - Financials'!L111</f>
        <v>0</v>
      </c>
      <c r="P116" s="950"/>
      <c r="Q116" s="951">
        <f t="shared" si="18"/>
        <v>1</v>
      </c>
      <c r="R116" s="952">
        <v>1</v>
      </c>
      <c r="S116" s="960"/>
      <c r="T116" s="960"/>
      <c r="U116" s="953"/>
      <c r="V116" s="953"/>
      <c r="W116" s="953"/>
      <c r="X116" s="953"/>
      <c r="Y116" s="953"/>
      <c r="Z116" s="953"/>
      <c r="AA116" s="953"/>
      <c r="AB116" s="953"/>
    </row>
    <row r="117" spans="1:28">
      <c r="A117" s="960"/>
      <c r="B117" s="962" t="s">
        <v>380</v>
      </c>
      <c r="C117" s="962"/>
      <c r="D117" s="962"/>
      <c r="E117" s="962"/>
      <c r="F117" s="962"/>
      <c r="G117" s="962"/>
      <c r="H117" s="969"/>
      <c r="I117" s="838">
        <f>'LBO - Financials'!F112</f>
        <v>0</v>
      </c>
      <c r="J117" s="838">
        <f ca="1">'LBO - Financials'!G112</f>
        <v>0</v>
      </c>
      <c r="K117" s="838">
        <f ca="1">'LBO - Financials'!H112</f>
        <v>0</v>
      </c>
      <c r="L117" s="838">
        <f ca="1">'LBO - Financials'!I112</f>
        <v>0</v>
      </c>
      <c r="M117" s="838">
        <f ca="1">'LBO - Financials'!J112</f>
        <v>0</v>
      </c>
      <c r="N117" s="838">
        <f ca="1">'LBO - Financials'!K112</f>
        <v>0</v>
      </c>
      <c r="O117" s="838">
        <f ca="1">'LBO - Financials'!L112</f>
        <v>0</v>
      </c>
      <c r="P117" s="950"/>
      <c r="Q117" s="951">
        <f t="shared" si="18"/>
        <v>1</v>
      </c>
      <c r="R117" s="952">
        <v>1</v>
      </c>
      <c r="S117" s="960"/>
      <c r="T117" s="960"/>
      <c r="U117" s="953"/>
      <c r="V117" s="953"/>
      <c r="W117" s="953"/>
      <c r="X117" s="953"/>
      <c r="Y117" s="953"/>
      <c r="Z117" s="953"/>
      <c r="AA117" s="953"/>
      <c r="AB117" s="953"/>
    </row>
    <row r="118" spans="1:28">
      <c r="A118" s="960"/>
      <c r="B118" s="967" t="s">
        <v>379</v>
      </c>
      <c r="C118" s="967"/>
      <c r="D118" s="967"/>
      <c r="E118" s="967"/>
      <c r="F118" s="967"/>
      <c r="G118" s="967"/>
      <c r="H118" s="962"/>
      <c r="I118" s="966">
        <f t="shared" ref="I118:O118" si="24">SUM(I116:I117)</f>
        <v>0</v>
      </c>
      <c r="J118" s="966">
        <f t="shared" ca="1" si="24"/>
        <v>0</v>
      </c>
      <c r="K118" s="966">
        <f t="shared" ca="1" si="24"/>
        <v>0</v>
      </c>
      <c r="L118" s="966">
        <f t="shared" ca="1" si="24"/>
        <v>0</v>
      </c>
      <c r="M118" s="966">
        <f t="shared" ca="1" si="24"/>
        <v>0</v>
      </c>
      <c r="N118" s="966">
        <f t="shared" ca="1" si="24"/>
        <v>0</v>
      </c>
      <c r="O118" s="966">
        <f t="shared" ca="1" si="24"/>
        <v>0</v>
      </c>
      <c r="P118" s="950"/>
      <c r="Q118" s="951">
        <f t="shared" si="18"/>
        <v>1</v>
      </c>
      <c r="R118" s="952">
        <v>1</v>
      </c>
      <c r="S118" s="960"/>
      <c r="T118" s="960"/>
      <c r="U118" s="953"/>
      <c r="V118" s="953"/>
      <c r="W118" s="953"/>
      <c r="X118" s="953"/>
      <c r="Y118" s="953"/>
      <c r="Z118" s="953"/>
      <c r="AA118" s="953"/>
      <c r="AB118" s="953"/>
    </row>
    <row r="119" spans="1:28">
      <c r="A119" s="960"/>
      <c r="B119" s="962" t="s">
        <v>378</v>
      </c>
      <c r="C119" s="962"/>
      <c r="D119" s="962"/>
      <c r="E119" s="962"/>
      <c r="F119" s="962"/>
      <c r="G119" s="962"/>
      <c r="H119" s="962"/>
      <c r="I119" s="838">
        <f>'LBO - Financials'!F135</f>
        <v>0</v>
      </c>
      <c r="J119" s="838">
        <f ca="1">'LBO - Financials'!G135</f>
        <v>0</v>
      </c>
      <c r="K119" s="838">
        <f ca="1">'LBO - Financials'!H135</f>
        <v>0</v>
      </c>
      <c r="L119" s="838">
        <f ca="1">'LBO - Financials'!I135</f>
        <v>0</v>
      </c>
      <c r="M119" s="838">
        <f ca="1">'LBO - Financials'!J135</f>
        <v>0</v>
      </c>
      <c r="N119" s="838">
        <f ca="1">'LBO - Financials'!K135</f>
        <v>0</v>
      </c>
      <c r="O119" s="838">
        <f ca="1">'LBO - Financials'!L135</f>
        <v>0</v>
      </c>
      <c r="P119" s="950"/>
      <c r="Q119" s="951">
        <f t="shared" si="18"/>
        <v>1</v>
      </c>
      <c r="R119" s="952">
        <v>1</v>
      </c>
      <c r="S119" s="960"/>
      <c r="T119" s="960"/>
      <c r="U119" s="953"/>
      <c r="V119" s="953"/>
      <c r="W119" s="953"/>
      <c r="X119" s="953"/>
      <c r="Y119" s="953"/>
      <c r="Z119" s="953"/>
      <c r="AA119" s="953"/>
      <c r="AB119" s="953"/>
    </row>
    <row r="120" spans="1:28">
      <c r="A120" s="960"/>
      <c r="B120" s="960"/>
      <c r="C120" s="960"/>
      <c r="D120" s="960"/>
      <c r="E120" s="960"/>
      <c r="F120" s="960"/>
      <c r="G120" s="960"/>
      <c r="H120" s="960"/>
      <c r="I120" s="940"/>
      <c r="J120" s="940"/>
      <c r="K120" s="940"/>
      <c r="L120" s="940"/>
      <c r="M120" s="940"/>
      <c r="N120" s="960"/>
      <c r="O120" s="960"/>
      <c r="P120" s="950"/>
      <c r="Q120" s="960"/>
      <c r="R120" s="960"/>
      <c r="S120" s="960"/>
      <c r="T120" s="960"/>
      <c r="U120" s="953"/>
      <c r="V120" s="953"/>
      <c r="W120" s="953"/>
      <c r="X120" s="953"/>
      <c r="Y120" s="953"/>
      <c r="Z120" s="953"/>
      <c r="AA120" s="953"/>
      <c r="AB120" s="953"/>
    </row>
    <row r="121" spans="1:28" hidden="1">
      <c r="A121" s="953"/>
      <c r="B121" s="953"/>
      <c r="C121" s="953"/>
      <c r="D121" s="953"/>
      <c r="E121" s="953"/>
      <c r="F121" s="953"/>
      <c r="G121" s="953"/>
      <c r="H121" s="953"/>
      <c r="I121" s="953"/>
      <c r="J121" s="953"/>
      <c r="K121" s="953"/>
      <c r="L121" s="953"/>
      <c r="M121" s="953"/>
      <c r="N121" s="953"/>
      <c r="O121" s="953"/>
      <c r="P121" s="953"/>
      <c r="Q121" s="953"/>
      <c r="R121" s="953"/>
      <c r="S121" s="953"/>
      <c r="T121" s="953"/>
      <c r="U121" s="953"/>
      <c r="V121" s="953"/>
      <c r="W121" s="953"/>
      <c r="X121" s="953"/>
      <c r="Y121" s="953"/>
      <c r="Z121" s="953"/>
      <c r="AA121" s="953"/>
      <c r="AB121" s="953"/>
    </row>
    <row r="122" spans="1:28" hidden="1">
      <c r="A122" s="953"/>
      <c r="B122" s="953"/>
      <c r="C122" s="953"/>
      <c r="D122" s="953"/>
      <c r="E122" s="953"/>
      <c r="F122" s="953"/>
      <c r="G122" s="953"/>
      <c r="H122" s="953"/>
      <c r="I122" s="953"/>
      <c r="J122" s="953"/>
      <c r="K122" s="953"/>
      <c r="L122" s="953"/>
      <c r="M122" s="953"/>
      <c r="N122" s="953"/>
      <c r="O122" s="953"/>
      <c r="P122" s="953"/>
      <c r="Q122" s="953"/>
      <c r="R122" s="953"/>
      <c r="S122" s="953"/>
      <c r="T122" s="953"/>
      <c r="U122" s="953"/>
      <c r="V122" s="953"/>
      <c r="W122" s="953"/>
      <c r="X122" s="953"/>
      <c r="Y122" s="953"/>
      <c r="Z122" s="953"/>
      <c r="AA122" s="953"/>
      <c r="AB122" s="953"/>
    </row>
    <row r="123" spans="1:28" hidden="1">
      <c r="A123" s="953"/>
      <c r="B123" s="953"/>
      <c r="C123" s="953"/>
      <c r="D123" s="953"/>
      <c r="E123" s="953"/>
      <c r="F123" s="953"/>
      <c r="G123" s="953"/>
      <c r="H123" s="953"/>
      <c r="I123" s="953"/>
      <c r="J123" s="953"/>
      <c r="K123" s="953"/>
      <c r="L123" s="953"/>
      <c r="M123" s="953"/>
      <c r="N123" s="953"/>
      <c r="O123" s="953"/>
      <c r="P123" s="953"/>
      <c r="Q123" s="953"/>
      <c r="R123" s="953"/>
      <c r="S123" s="953"/>
      <c r="T123" s="953"/>
      <c r="U123" s="953"/>
      <c r="V123" s="953"/>
      <c r="W123" s="953"/>
      <c r="X123" s="953"/>
      <c r="Y123" s="953"/>
      <c r="Z123" s="953"/>
      <c r="AA123" s="953"/>
      <c r="AB123" s="953"/>
    </row>
    <row r="124" spans="1:28" hidden="1">
      <c r="A124" s="953"/>
      <c r="B124" s="953"/>
      <c r="C124" s="953"/>
      <c r="D124" s="953"/>
      <c r="E124" s="953"/>
      <c r="F124" s="953"/>
      <c r="G124" s="953"/>
      <c r="H124" s="953"/>
      <c r="I124" s="953"/>
      <c r="J124" s="953"/>
      <c r="K124" s="953"/>
      <c r="L124" s="953"/>
      <c r="M124" s="953"/>
      <c r="N124" s="953"/>
      <c r="O124" s="953"/>
      <c r="P124" s="953"/>
      <c r="Q124" s="953"/>
      <c r="R124" s="953"/>
      <c r="S124" s="953"/>
      <c r="T124" s="953"/>
      <c r="U124" s="953"/>
      <c r="V124" s="953"/>
      <c r="W124" s="953"/>
      <c r="X124" s="953"/>
      <c r="Y124" s="953"/>
      <c r="Z124" s="953"/>
      <c r="AA124" s="953"/>
      <c r="AB124" s="953"/>
    </row>
    <row r="125" spans="1:28" hidden="1">
      <c r="A125" s="953"/>
      <c r="B125" s="953"/>
      <c r="C125" s="953"/>
      <c r="D125" s="953"/>
      <c r="E125" s="953"/>
      <c r="F125" s="953"/>
      <c r="G125" s="953"/>
      <c r="H125" s="953"/>
      <c r="I125" s="953"/>
      <c r="J125" s="953"/>
      <c r="K125" s="953"/>
      <c r="L125" s="953"/>
      <c r="M125" s="953"/>
      <c r="N125" s="953"/>
      <c r="O125" s="953"/>
      <c r="P125" s="953"/>
      <c r="Q125" s="953"/>
      <c r="R125" s="953"/>
      <c r="S125" s="953"/>
      <c r="T125" s="953"/>
      <c r="U125" s="953"/>
      <c r="V125" s="953"/>
      <c r="W125" s="953"/>
      <c r="X125" s="953"/>
      <c r="Y125" s="953"/>
      <c r="Z125" s="953"/>
      <c r="AA125" s="953"/>
      <c r="AB125" s="953"/>
    </row>
    <row r="126" spans="1:28" hidden="1">
      <c r="A126" s="953"/>
      <c r="B126" s="953"/>
      <c r="C126" s="953"/>
      <c r="D126" s="953"/>
      <c r="E126" s="953"/>
      <c r="F126" s="953"/>
      <c r="G126" s="953"/>
      <c r="H126" s="953"/>
      <c r="I126" s="953"/>
      <c r="J126" s="953"/>
      <c r="K126" s="953"/>
      <c r="L126" s="953"/>
      <c r="M126" s="953"/>
      <c r="N126" s="953"/>
      <c r="O126" s="953"/>
      <c r="P126" s="953"/>
      <c r="Q126" s="953"/>
      <c r="R126" s="953"/>
      <c r="S126" s="953"/>
      <c r="T126" s="953"/>
      <c r="U126" s="953"/>
      <c r="V126" s="953"/>
      <c r="W126" s="953"/>
      <c r="X126" s="953"/>
      <c r="Y126" s="953"/>
      <c r="Z126" s="953"/>
      <c r="AA126" s="953"/>
      <c r="AB126" s="953"/>
    </row>
    <row r="127" spans="1:28" hidden="1">
      <c r="A127" s="953"/>
      <c r="B127" s="953"/>
      <c r="C127" s="953"/>
      <c r="D127" s="953"/>
      <c r="E127" s="953"/>
      <c r="F127" s="953"/>
      <c r="G127" s="953"/>
      <c r="H127" s="953"/>
      <c r="I127" s="953"/>
      <c r="J127" s="953"/>
      <c r="K127" s="953"/>
      <c r="L127" s="953"/>
      <c r="M127" s="953"/>
      <c r="N127" s="953"/>
      <c r="O127" s="953"/>
      <c r="P127" s="953"/>
      <c r="Q127" s="953"/>
      <c r="R127" s="953"/>
      <c r="S127" s="953"/>
      <c r="T127" s="953"/>
      <c r="U127" s="953"/>
      <c r="V127" s="953"/>
      <c r="W127" s="953"/>
      <c r="X127" s="953"/>
      <c r="Y127" s="953"/>
      <c r="Z127" s="953"/>
      <c r="AA127" s="953"/>
      <c r="AB127" s="953"/>
    </row>
    <row r="128" spans="1:28" hidden="1">
      <c r="A128" s="953"/>
      <c r="B128" s="953"/>
      <c r="C128" s="953"/>
      <c r="D128" s="953"/>
      <c r="E128" s="953"/>
      <c r="F128" s="953"/>
      <c r="G128" s="953"/>
      <c r="H128" s="953"/>
      <c r="I128" s="953"/>
      <c r="J128" s="953"/>
      <c r="K128" s="953"/>
      <c r="L128" s="953"/>
      <c r="M128" s="953"/>
      <c r="N128" s="953"/>
      <c r="O128" s="953"/>
      <c r="P128" s="953"/>
      <c r="Q128" s="953"/>
      <c r="R128" s="953"/>
      <c r="S128" s="953"/>
      <c r="T128" s="953"/>
      <c r="U128" s="953"/>
      <c r="V128" s="953"/>
      <c r="W128" s="953"/>
      <c r="X128" s="953"/>
      <c r="Y128" s="953"/>
      <c r="Z128" s="953"/>
      <c r="AA128" s="953"/>
      <c r="AB128" s="953"/>
    </row>
    <row r="129" spans="1:28" hidden="1">
      <c r="A129" s="953"/>
      <c r="B129" s="953"/>
      <c r="C129" s="953"/>
      <c r="D129" s="953"/>
      <c r="E129" s="953"/>
      <c r="F129" s="953"/>
      <c r="G129" s="953"/>
      <c r="H129" s="953"/>
      <c r="I129" s="953"/>
      <c r="J129" s="953"/>
      <c r="K129" s="953"/>
      <c r="L129" s="953"/>
      <c r="M129" s="953"/>
      <c r="N129" s="953"/>
      <c r="O129" s="953"/>
      <c r="P129" s="953"/>
      <c r="Q129" s="953"/>
      <c r="R129" s="953"/>
      <c r="S129" s="953"/>
      <c r="T129" s="953"/>
      <c r="U129" s="953"/>
      <c r="V129" s="953"/>
      <c r="W129" s="953"/>
      <c r="X129" s="953"/>
      <c r="Y129" s="953"/>
      <c r="Z129" s="953"/>
      <c r="AA129" s="953"/>
      <c r="AB129" s="953"/>
    </row>
    <row r="130" spans="1:28" hidden="1">
      <c r="A130" s="953"/>
      <c r="B130" s="953"/>
      <c r="C130" s="953"/>
      <c r="D130" s="953"/>
      <c r="E130" s="953"/>
      <c r="F130" s="953"/>
      <c r="G130" s="953"/>
      <c r="H130" s="953"/>
      <c r="I130" s="953"/>
      <c r="J130" s="953"/>
      <c r="K130" s="953"/>
      <c r="L130" s="953"/>
      <c r="M130" s="953"/>
      <c r="N130" s="953"/>
      <c r="O130" s="953"/>
      <c r="P130" s="953"/>
      <c r="Q130" s="953"/>
      <c r="R130" s="953"/>
      <c r="S130" s="953"/>
      <c r="T130" s="953"/>
      <c r="U130" s="953"/>
      <c r="V130" s="953"/>
      <c r="W130" s="953"/>
      <c r="X130" s="953"/>
      <c r="Y130" s="953"/>
      <c r="Z130" s="953"/>
      <c r="AA130" s="953"/>
      <c r="AB130" s="953"/>
    </row>
    <row r="131" spans="1:28" hidden="1">
      <c r="A131" s="953"/>
      <c r="B131" s="953"/>
      <c r="C131" s="953"/>
      <c r="D131" s="953"/>
      <c r="E131" s="953"/>
      <c r="F131" s="953"/>
      <c r="G131" s="953"/>
      <c r="H131" s="953"/>
      <c r="I131" s="953"/>
      <c r="J131" s="953"/>
      <c r="K131" s="953"/>
      <c r="L131" s="953"/>
      <c r="M131" s="953"/>
      <c r="N131" s="953"/>
      <c r="O131" s="953"/>
      <c r="P131" s="953"/>
      <c r="Q131" s="953"/>
      <c r="R131" s="953"/>
      <c r="S131" s="953"/>
      <c r="T131" s="953"/>
      <c r="U131" s="953"/>
      <c r="V131" s="953"/>
      <c r="W131" s="953"/>
      <c r="X131" s="953"/>
      <c r="Y131" s="953"/>
      <c r="Z131" s="953"/>
      <c r="AA131" s="953"/>
      <c r="AB131" s="953"/>
    </row>
    <row r="132" spans="1:28" hidden="1">
      <c r="A132" s="953"/>
      <c r="B132" s="953"/>
      <c r="C132" s="953"/>
      <c r="D132" s="953"/>
      <c r="E132" s="953"/>
      <c r="F132" s="953"/>
      <c r="G132" s="953"/>
      <c r="H132" s="953"/>
      <c r="I132" s="953"/>
      <c r="J132" s="953"/>
      <c r="K132" s="953"/>
      <c r="L132" s="953"/>
      <c r="M132" s="953"/>
      <c r="N132" s="953"/>
      <c r="O132" s="953"/>
      <c r="P132" s="953"/>
      <c r="Q132" s="953"/>
      <c r="R132" s="953"/>
      <c r="S132" s="953"/>
      <c r="T132" s="953"/>
      <c r="U132" s="953"/>
      <c r="V132" s="953"/>
      <c r="W132" s="953"/>
      <c r="X132" s="953"/>
      <c r="Y132" s="953"/>
      <c r="Z132" s="953"/>
      <c r="AA132" s="953"/>
      <c r="AB132" s="953"/>
    </row>
    <row r="133" spans="1:28" hidden="1">
      <c r="A133" s="953"/>
      <c r="B133" s="953"/>
      <c r="C133" s="953"/>
      <c r="D133" s="953"/>
      <c r="E133" s="953"/>
      <c r="F133" s="953"/>
      <c r="G133" s="953"/>
      <c r="H133" s="953"/>
      <c r="I133" s="953"/>
      <c r="J133" s="953"/>
      <c r="K133" s="953"/>
      <c r="L133" s="953"/>
      <c r="M133" s="953"/>
      <c r="N133" s="953"/>
      <c r="O133" s="953"/>
      <c r="P133" s="953"/>
      <c r="Q133" s="953"/>
      <c r="R133" s="953"/>
      <c r="S133" s="953"/>
      <c r="T133" s="953"/>
      <c r="U133" s="953"/>
      <c r="V133" s="953"/>
      <c r="W133" s="953"/>
      <c r="X133" s="953"/>
      <c r="Y133" s="953"/>
      <c r="Z133" s="953"/>
      <c r="AA133" s="953"/>
      <c r="AB133" s="953"/>
    </row>
    <row r="134" spans="1:28" hidden="1">
      <c r="A134" s="953"/>
      <c r="B134" s="953"/>
      <c r="C134" s="953"/>
      <c r="D134" s="953"/>
      <c r="E134" s="953"/>
      <c r="F134" s="953"/>
      <c r="G134" s="953"/>
      <c r="H134" s="953"/>
      <c r="I134" s="953"/>
      <c r="J134" s="953"/>
      <c r="K134" s="953"/>
      <c r="L134" s="953"/>
      <c r="M134" s="953"/>
      <c r="N134" s="953"/>
      <c r="O134" s="953"/>
      <c r="P134" s="953"/>
      <c r="Q134" s="953"/>
      <c r="R134" s="953"/>
      <c r="S134" s="953"/>
      <c r="T134" s="953"/>
      <c r="U134" s="953"/>
      <c r="V134" s="953"/>
      <c r="W134" s="953"/>
      <c r="X134" s="953"/>
      <c r="Y134" s="953"/>
      <c r="Z134" s="953"/>
      <c r="AA134" s="953"/>
      <c r="AB134" s="953"/>
    </row>
    <row r="135" spans="1:28" hidden="1">
      <c r="A135" s="953"/>
      <c r="B135" s="953"/>
      <c r="C135" s="953"/>
      <c r="D135" s="953"/>
      <c r="E135" s="953"/>
      <c r="F135" s="953"/>
      <c r="G135" s="953"/>
      <c r="H135" s="953"/>
      <c r="I135" s="953"/>
      <c r="J135" s="953"/>
      <c r="K135" s="953"/>
      <c r="L135" s="953"/>
      <c r="M135" s="953"/>
      <c r="N135" s="953"/>
      <c r="O135" s="953"/>
      <c r="P135" s="953"/>
      <c r="Q135" s="953"/>
      <c r="R135" s="953"/>
      <c r="S135" s="953"/>
      <c r="T135" s="953"/>
      <c r="U135" s="953"/>
      <c r="V135" s="953"/>
      <c r="W135" s="953"/>
      <c r="X135" s="953"/>
      <c r="Y135" s="953"/>
      <c r="Z135" s="953"/>
      <c r="AA135" s="953"/>
      <c r="AB135" s="953"/>
    </row>
    <row r="136" spans="1:28" hidden="1">
      <c r="A136" s="953"/>
      <c r="B136" s="953"/>
      <c r="C136" s="953"/>
      <c r="D136" s="953"/>
      <c r="E136" s="953"/>
      <c r="F136" s="953"/>
      <c r="G136" s="953"/>
      <c r="H136" s="953"/>
      <c r="I136" s="953"/>
      <c r="J136" s="953"/>
      <c r="K136" s="953"/>
      <c r="L136" s="953"/>
      <c r="M136" s="953"/>
      <c r="N136" s="953"/>
      <c r="O136" s="953"/>
      <c r="P136" s="953"/>
      <c r="Q136" s="953"/>
      <c r="R136" s="953"/>
      <c r="S136" s="953"/>
      <c r="T136" s="953"/>
      <c r="U136" s="953"/>
      <c r="V136" s="953"/>
      <c r="W136" s="953"/>
      <c r="X136" s="953"/>
      <c r="Y136" s="953"/>
      <c r="Z136" s="953"/>
      <c r="AA136" s="953"/>
      <c r="AB136" s="953"/>
    </row>
    <row r="137" spans="1:28" hidden="1">
      <c r="A137" s="953"/>
      <c r="B137" s="953"/>
      <c r="C137" s="953"/>
      <c r="D137" s="953"/>
      <c r="E137" s="953"/>
      <c r="F137" s="953"/>
      <c r="G137" s="953"/>
      <c r="H137" s="953"/>
      <c r="I137" s="953"/>
      <c r="J137" s="953"/>
      <c r="K137" s="953"/>
      <c r="L137" s="953"/>
      <c r="M137" s="953"/>
      <c r="N137" s="953"/>
      <c r="O137" s="953"/>
      <c r="P137" s="953"/>
      <c r="Q137" s="953"/>
      <c r="R137" s="953"/>
      <c r="S137" s="953"/>
      <c r="T137" s="953"/>
      <c r="U137" s="953"/>
      <c r="V137" s="953"/>
      <c r="W137" s="953"/>
      <c r="X137" s="953"/>
      <c r="Y137" s="953"/>
      <c r="Z137" s="953"/>
      <c r="AA137" s="953"/>
      <c r="AB137" s="953"/>
    </row>
    <row r="138" spans="1:28" hidden="1">
      <c r="A138" s="953"/>
      <c r="B138" s="953"/>
      <c r="C138" s="953"/>
      <c r="D138" s="953"/>
      <c r="E138" s="953"/>
      <c r="F138" s="953"/>
      <c r="G138" s="953"/>
      <c r="H138" s="953"/>
      <c r="I138" s="953"/>
      <c r="J138" s="953"/>
      <c r="K138" s="953"/>
      <c r="L138" s="953"/>
      <c r="M138" s="953"/>
      <c r="N138" s="953"/>
      <c r="O138" s="953"/>
      <c r="P138" s="953"/>
      <c r="Q138" s="953"/>
      <c r="R138" s="953"/>
      <c r="S138" s="953"/>
      <c r="T138" s="953"/>
      <c r="U138" s="953"/>
      <c r="V138" s="953"/>
      <c r="W138" s="953"/>
      <c r="X138" s="953"/>
      <c r="Y138" s="953"/>
      <c r="Z138" s="953"/>
      <c r="AA138" s="953"/>
      <c r="AB138" s="953"/>
    </row>
    <row r="139" spans="1:28" hidden="1">
      <c r="A139" s="953"/>
      <c r="B139" s="953"/>
      <c r="C139" s="953"/>
      <c r="D139" s="953"/>
      <c r="E139" s="953"/>
      <c r="F139" s="953"/>
      <c r="G139" s="953"/>
      <c r="H139" s="953"/>
      <c r="I139" s="953"/>
      <c r="J139" s="953"/>
      <c r="K139" s="953"/>
      <c r="L139" s="953"/>
      <c r="M139" s="953"/>
      <c r="N139" s="953"/>
      <c r="O139" s="953"/>
      <c r="P139" s="953"/>
      <c r="Q139" s="953"/>
      <c r="R139" s="953"/>
      <c r="S139" s="953"/>
      <c r="T139" s="953"/>
      <c r="U139" s="953"/>
      <c r="V139" s="953"/>
      <c r="W139" s="953"/>
      <c r="X139" s="953"/>
      <c r="Y139" s="953"/>
      <c r="Z139" s="953"/>
      <c r="AA139" s="953"/>
      <c r="AB139" s="953"/>
    </row>
    <row r="140" spans="1:28" hidden="1">
      <c r="A140" s="953"/>
      <c r="B140" s="953"/>
      <c r="C140" s="953"/>
      <c r="D140" s="953"/>
      <c r="E140" s="953"/>
      <c r="F140" s="953"/>
      <c r="G140" s="953"/>
      <c r="H140" s="953"/>
      <c r="I140" s="953"/>
      <c r="J140" s="953"/>
      <c r="K140" s="953"/>
      <c r="L140" s="953"/>
      <c r="M140" s="953"/>
      <c r="N140" s="953"/>
      <c r="O140" s="953"/>
      <c r="P140" s="953"/>
      <c r="Q140" s="953"/>
      <c r="R140" s="953"/>
      <c r="S140" s="953"/>
      <c r="T140" s="953"/>
      <c r="U140" s="953"/>
      <c r="V140" s="953"/>
      <c r="W140" s="953"/>
      <c r="X140" s="953"/>
      <c r="Y140" s="953"/>
      <c r="Z140" s="953"/>
      <c r="AA140" s="953"/>
      <c r="AB140" s="953"/>
    </row>
    <row r="141" spans="1:28" hidden="1">
      <c r="A141" s="953"/>
      <c r="B141" s="953"/>
      <c r="C141" s="953"/>
      <c r="D141" s="953"/>
      <c r="E141" s="953"/>
      <c r="F141" s="953"/>
      <c r="G141" s="953"/>
      <c r="H141" s="953"/>
      <c r="I141" s="953"/>
      <c r="J141" s="953"/>
      <c r="K141" s="953"/>
      <c r="L141" s="953"/>
      <c r="M141" s="953"/>
      <c r="N141" s="953"/>
      <c r="O141" s="953"/>
      <c r="P141" s="953"/>
      <c r="Q141" s="953"/>
      <c r="R141" s="953"/>
      <c r="S141" s="953"/>
      <c r="T141" s="953"/>
      <c r="U141" s="953"/>
      <c r="V141" s="953"/>
      <c r="W141" s="953"/>
      <c r="X141" s="953"/>
      <c r="Y141" s="953"/>
      <c r="Z141" s="953"/>
      <c r="AA141" s="953"/>
      <c r="AB141" s="953"/>
    </row>
    <row r="142" spans="1:28" hidden="1">
      <c r="A142" s="953"/>
      <c r="B142" s="953"/>
      <c r="C142" s="953"/>
      <c r="D142" s="953"/>
      <c r="E142" s="953"/>
      <c r="F142" s="953"/>
      <c r="G142" s="953"/>
      <c r="H142" s="953"/>
      <c r="I142" s="953"/>
      <c r="J142" s="953"/>
      <c r="K142" s="953"/>
      <c r="L142" s="953"/>
      <c r="M142" s="953"/>
      <c r="N142" s="953"/>
      <c r="O142" s="953"/>
      <c r="P142" s="953"/>
      <c r="Q142" s="953"/>
      <c r="R142" s="953"/>
      <c r="S142" s="953"/>
      <c r="T142" s="953"/>
      <c r="U142" s="953"/>
      <c r="V142" s="953"/>
      <c r="W142" s="953"/>
      <c r="X142" s="953"/>
      <c r="Y142" s="953"/>
      <c r="Z142" s="953"/>
      <c r="AA142" s="953"/>
      <c r="AB142" s="953"/>
    </row>
    <row r="143" spans="1:28" hidden="1">
      <c r="A143" s="953"/>
      <c r="B143" s="953"/>
      <c r="C143" s="953"/>
      <c r="D143" s="953"/>
      <c r="E143" s="953"/>
      <c r="F143" s="953"/>
      <c r="G143" s="953"/>
      <c r="H143" s="953"/>
      <c r="I143" s="953"/>
      <c r="J143" s="953"/>
      <c r="K143" s="953"/>
      <c r="L143" s="953"/>
      <c r="M143" s="953"/>
      <c r="N143" s="953"/>
      <c r="O143" s="953"/>
      <c r="P143" s="953"/>
      <c r="Q143" s="953"/>
      <c r="R143" s="953"/>
      <c r="S143" s="953"/>
      <c r="T143" s="953"/>
      <c r="U143" s="953"/>
      <c r="V143" s="953"/>
      <c r="W143" s="953"/>
      <c r="X143" s="953"/>
      <c r="Y143" s="953"/>
      <c r="Z143" s="953"/>
      <c r="AA143" s="953"/>
      <c r="AB143" s="953"/>
    </row>
    <row r="144" spans="1:28" hidden="1">
      <c r="A144" s="953"/>
      <c r="B144" s="953"/>
      <c r="C144" s="953"/>
      <c r="D144" s="953"/>
      <c r="E144" s="953"/>
      <c r="F144" s="953"/>
      <c r="G144" s="953"/>
      <c r="H144" s="953"/>
      <c r="I144" s="953"/>
      <c r="J144" s="953"/>
      <c r="K144" s="953"/>
      <c r="L144" s="953"/>
      <c r="M144" s="953"/>
      <c r="N144" s="953"/>
      <c r="O144" s="953"/>
      <c r="P144" s="953"/>
      <c r="Q144" s="953"/>
      <c r="R144" s="953"/>
      <c r="S144" s="953"/>
      <c r="T144" s="953"/>
      <c r="U144" s="953"/>
      <c r="V144" s="953"/>
      <c r="W144" s="953"/>
      <c r="X144" s="953"/>
      <c r="Y144" s="953"/>
      <c r="Z144" s="953"/>
      <c r="AA144" s="953"/>
      <c r="AB144" s="953"/>
    </row>
    <row r="145" spans="1:28" hidden="1">
      <c r="A145" s="953"/>
      <c r="B145" s="953"/>
      <c r="C145" s="953"/>
      <c r="D145" s="953"/>
      <c r="E145" s="953"/>
      <c r="F145" s="953"/>
      <c r="G145" s="953"/>
      <c r="H145" s="953"/>
      <c r="I145" s="953"/>
      <c r="J145" s="953"/>
      <c r="K145" s="953"/>
      <c r="L145" s="953"/>
      <c r="M145" s="953"/>
      <c r="N145" s="953"/>
      <c r="O145" s="953"/>
      <c r="P145" s="953"/>
      <c r="Q145" s="953"/>
      <c r="R145" s="953"/>
      <c r="S145" s="953"/>
      <c r="T145" s="953"/>
      <c r="U145" s="953"/>
      <c r="V145" s="953"/>
      <c r="W145" s="953"/>
      <c r="X145" s="953"/>
      <c r="Y145" s="953"/>
      <c r="Z145" s="953"/>
      <c r="AA145" s="953"/>
      <c r="AB145" s="953"/>
    </row>
    <row r="146" spans="1:28" hidden="1">
      <c r="A146" s="953"/>
      <c r="B146" s="953"/>
      <c r="C146" s="953"/>
      <c r="D146" s="953"/>
      <c r="E146" s="953"/>
      <c r="F146" s="953"/>
      <c r="G146" s="953"/>
      <c r="H146" s="953"/>
      <c r="I146" s="953"/>
      <c r="J146" s="953"/>
      <c r="K146" s="953"/>
      <c r="L146" s="953"/>
      <c r="M146" s="953"/>
      <c r="N146" s="953"/>
      <c r="O146" s="953"/>
      <c r="P146" s="953"/>
      <c r="Q146" s="953"/>
      <c r="R146" s="953"/>
      <c r="S146" s="953"/>
      <c r="T146" s="953"/>
      <c r="U146" s="953"/>
      <c r="V146" s="953"/>
      <c r="W146" s="953"/>
      <c r="X146" s="953"/>
      <c r="Y146" s="953"/>
      <c r="Z146" s="953"/>
      <c r="AA146" s="953"/>
      <c r="AB146" s="953"/>
    </row>
    <row r="147" spans="1:28"/>
  </sheetData>
  <sheetProtection algorithmName="SHA-512" hashValue="rUNG1O0/FObNSTFsFz8zLv0TZcKVmFCAqlbxkAGRv4032V7v4OuD7FHKNSrNiVUs6eP+2RWjsGw4SyUW+OmfLQ==" saltValue="BrS2wjcwRHAzcos9gPN6oQ==" spinCount="100000" sheet="1" formatCells="0" formatColumns="0" formatRows="0" insertColumns="0" insertRows="0" insertHyperlinks="0" deleteColumns="0" deleteRows="0" sort="0" autoFilter="0" pivotTables="0"/>
  <conditionalFormatting sqref="J48">
    <cfRule type="cellIs" dxfId="22" priority="7" stopIfTrue="1" operator="equal">
      <formula>#REF!</formula>
    </cfRule>
  </conditionalFormatting>
  <conditionalFormatting sqref="J94">
    <cfRule type="cellIs" dxfId="21" priority="5" stopIfTrue="1" operator="equal">
      <formula>#REF!</formula>
    </cfRule>
  </conditionalFormatting>
  <conditionalFormatting sqref="J15">
    <cfRule type="cellIs" dxfId="20" priority="4" stopIfTrue="1" operator="equal">
      <formula>#REF!</formula>
    </cfRule>
  </conditionalFormatting>
  <conditionalFormatting sqref="J31">
    <cfRule type="cellIs" dxfId="19" priority="3" stopIfTrue="1" operator="equal">
      <formula>#REF!</formula>
    </cfRule>
  </conditionalFormatting>
  <conditionalFormatting sqref="Q1:R1">
    <cfRule type="cellIs" dxfId="18" priority="1" operator="equal">
      <formula>"Check"</formula>
    </cfRule>
  </conditionalFormatting>
  <conditionalFormatting sqref="H1:I1">
    <cfRule type="cellIs" dxfId="17" priority="2" operator="equal">
      <formula>"Check"</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A1481-50A4-4698-B5B9-B475A6065EE4}">
  <sheetPr codeName="Sheet17">
    <tabColor theme="3" tint="-0.499984740745262"/>
  </sheetPr>
  <dimension ref="A1:CT166"/>
  <sheetViews>
    <sheetView showGridLines="0" workbookViewId="0">
      <selection activeCell="N19" sqref="N19"/>
    </sheetView>
  </sheetViews>
  <sheetFormatPr defaultColWidth="0" defaultRowHeight="13.2" zeroHeight="1"/>
  <cols>
    <col min="1" max="1" width="2.6640625" style="495" customWidth="1"/>
    <col min="2" max="2" width="41.44140625" style="495" customWidth="1"/>
    <col min="3" max="6" width="14.6640625" style="495" customWidth="1"/>
    <col min="7" max="7" width="4" style="495" customWidth="1"/>
    <col min="8" max="8" width="4.33203125" style="495" customWidth="1"/>
    <col min="9" max="9" width="4.77734375" style="495" customWidth="1"/>
    <col min="10" max="10" width="3.77734375" style="495" customWidth="1"/>
    <col min="11" max="11" width="6.6640625" style="495" hidden="1" customWidth="1"/>
    <col min="12" max="12" width="3.6640625" style="495" hidden="1" customWidth="1"/>
    <col min="13" max="13" width="10.109375" style="495" hidden="1" customWidth="1"/>
    <col min="14" max="14" width="9.6640625" style="495" hidden="1" customWidth="1"/>
    <col min="15" max="15" width="12.44140625" style="495" hidden="1" customWidth="1"/>
    <col min="16" max="16" width="11.6640625" style="495" hidden="1" customWidth="1"/>
    <col min="17" max="17" width="11.33203125" style="495" hidden="1" customWidth="1"/>
    <col min="18" max="18" width="10.6640625" style="495" hidden="1" customWidth="1"/>
    <col min="19" max="19" width="11.44140625" style="495" hidden="1" customWidth="1"/>
    <col min="20" max="20" width="10.44140625" style="495" hidden="1" customWidth="1"/>
    <col min="21" max="21" width="12.33203125" style="495" hidden="1" customWidth="1"/>
    <col min="22" max="22" width="14.6640625" style="495" hidden="1" customWidth="1"/>
    <col min="23" max="23" width="11" style="495" hidden="1" customWidth="1"/>
    <col min="24" max="24" width="14.109375" style="495" hidden="1" customWidth="1"/>
    <col min="25" max="25" width="8.6640625" style="495" hidden="1" customWidth="1"/>
    <col min="26" max="16384" width="9.109375" style="495" hidden="1"/>
  </cols>
  <sheetData>
    <row r="1" spans="1:98" s="45" customFormat="1">
      <c r="A1" s="49" t="str">
        <f>'DCF - Assumptions'!$E$8&amp;" | LBO Model - Assumptions"</f>
        <v>Tapestry | LBO Model - Assumptions</v>
      </c>
      <c r="B1" s="498"/>
      <c r="C1" s="498"/>
      <c r="D1" s="497"/>
      <c r="E1" s="497"/>
      <c r="F1" s="497"/>
      <c r="G1" s="497"/>
      <c r="H1" s="46" t="str">
        <f>IF(H5=I5,"OK","Check")</f>
        <v>OK</v>
      </c>
      <c r="I1" s="46" t="str">
        <f>IF(H6=I6,"OK","Check")</f>
        <v>OK</v>
      </c>
      <c r="J1" s="497"/>
      <c r="K1" s="497"/>
      <c r="L1" s="47"/>
      <c r="M1" s="497"/>
      <c r="N1" s="497"/>
      <c r="O1" s="497"/>
      <c r="P1" s="497"/>
    </row>
    <row r="2" spans="1:98" s="24" customFormat="1" ht="1.95" customHeight="1">
      <c r="A2" s="242"/>
      <c r="B2" s="4"/>
      <c r="C2" s="4"/>
      <c r="D2" s="4"/>
      <c r="E2" s="4"/>
      <c r="F2" s="4"/>
      <c r="G2" s="4"/>
      <c r="H2" s="41"/>
      <c r="I2" s="41"/>
      <c r="J2" s="4"/>
      <c r="K2" s="4"/>
      <c r="L2" s="4"/>
      <c r="M2" s="4"/>
      <c r="N2" s="4"/>
      <c r="O2" s="4"/>
      <c r="P2" s="4"/>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row>
    <row r="3" spans="1:98" s="176" customFormat="1" ht="3" customHeight="1">
      <c r="A3" s="40"/>
      <c r="B3" s="39"/>
      <c r="C3" s="39"/>
      <c r="D3" s="39"/>
      <c r="E3" s="39"/>
      <c r="F3" s="39"/>
      <c r="G3" s="39"/>
      <c r="H3" s="37"/>
      <c r="I3" s="37"/>
      <c r="J3" s="39"/>
      <c r="K3" s="39"/>
      <c r="L3" s="39"/>
      <c r="M3" s="39"/>
      <c r="N3" s="39"/>
      <c r="O3" s="39"/>
      <c r="P3" s="39"/>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row>
    <row r="4" spans="1:98" ht="11.25" customHeight="1">
      <c r="H4" s="4"/>
      <c r="I4" s="4"/>
      <c r="W4" s="496"/>
    </row>
    <row r="5" spans="1:98">
      <c r="A5" s="537"/>
      <c r="B5" s="762" t="s">
        <v>486</v>
      </c>
      <c r="C5" s="762"/>
      <c r="D5" s="763"/>
      <c r="E5" s="763"/>
      <c r="F5" s="763"/>
      <c r="H5" s="61">
        <f>ROWS(B5:B117)</f>
        <v>113</v>
      </c>
      <c r="I5" s="35">
        <v>113</v>
      </c>
      <c r="J5" s="4"/>
      <c r="K5" s="175"/>
    </row>
    <row r="6" spans="1:98" s="69" customFormat="1" ht="13.2" customHeight="1">
      <c r="A6" s="537"/>
      <c r="B6" s="547"/>
      <c r="C6" s="547"/>
      <c r="D6" s="494"/>
      <c r="E6" s="494"/>
      <c r="F6" s="494"/>
      <c r="H6" s="61">
        <f>SUM(H7:H117)</f>
        <v>90</v>
      </c>
      <c r="I6" s="35">
        <v>90</v>
      </c>
    </row>
    <row r="7" spans="1:98" s="496" customFormat="1">
      <c r="A7" s="506"/>
      <c r="B7" s="137"/>
      <c r="D7" s="546" t="s">
        <v>485</v>
      </c>
      <c r="H7" s="61">
        <f>IF(NOT(ISBLANK(B7)), 1, 0)</f>
        <v>0</v>
      </c>
      <c r="I7" s="35">
        <v>1</v>
      </c>
      <c r="J7" s="493"/>
      <c r="K7" s="492"/>
    </row>
    <row r="8" spans="1:98" s="496" customFormat="1">
      <c r="A8" s="506"/>
      <c r="B8" s="335" t="s">
        <v>607</v>
      </c>
      <c r="D8" s="798">
        <v>1</v>
      </c>
      <c r="E8" s="545">
        <v>1</v>
      </c>
      <c r="F8" s="545">
        <v>2</v>
      </c>
      <c r="H8" s="61">
        <f t="shared" ref="H8:H71" si="0">IF(NOT(ISBLANK(B8)), 1, 0)</f>
        <v>1</v>
      </c>
      <c r="I8" s="35">
        <v>0</v>
      </c>
      <c r="J8" s="462">
        <v>1</v>
      </c>
    </row>
    <row r="9" spans="1:98" s="496" customFormat="1">
      <c r="A9" s="506"/>
      <c r="B9" s="137"/>
      <c r="C9" s="137"/>
      <c r="D9" s="778" t="str">
        <f ca="1">OFFSET(E9,0,$D$8-1)</f>
        <v>Base</v>
      </c>
      <c r="E9" s="545" t="s">
        <v>477</v>
      </c>
      <c r="F9" s="544" t="s">
        <v>484</v>
      </c>
      <c r="H9" s="61">
        <f t="shared" si="0"/>
        <v>0</v>
      </c>
      <c r="I9" s="35">
        <v>0</v>
      </c>
      <c r="J9" s="462">
        <v>1</v>
      </c>
    </row>
    <row r="10" spans="1:98" ht="13.8" thickBot="1">
      <c r="A10" s="69"/>
      <c r="B10" s="504" t="s">
        <v>483</v>
      </c>
      <c r="C10" s="504"/>
      <c r="D10" s="504"/>
      <c r="E10" s="504"/>
      <c r="F10" s="504"/>
      <c r="H10" s="61">
        <f t="shared" si="0"/>
        <v>1</v>
      </c>
      <c r="I10" s="35">
        <v>1</v>
      </c>
      <c r="J10" s="462">
        <v>1</v>
      </c>
    </row>
    <row r="11" spans="1:98" s="496" customFormat="1" ht="13.8" thickBot="1">
      <c r="A11" s="506"/>
      <c r="B11" s="335" t="s">
        <v>600</v>
      </c>
      <c r="C11" s="137"/>
      <c r="D11" s="485" t="s">
        <v>33</v>
      </c>
      <c r="E11" s="485"/>
      <c r="F11" s="485"/>
      <c r="G11" s="485"/>
      <c r="H11" s="61">
        <f t="shared" si="0"/>
        <v>1</v>
      </c>
      <c r="I11" s="35">
        <v>1</v>
      </c>
      <c r="J11" s="462">
        <v>1</v>
      </c>
    </row>
    <row r="12" spans="1:98" s="496" customFormat="1">
      <c r="A12" s="506"/>
      <c r="B12" s="137" t="s">
        <v>431</v>
      </c>
      <c r="C12" s="534"/>
      <c r="D12" s="779">
        <f ca="1">OFFSET(E12,0,$D$8-1)</f>
        <v>0</v>
      </c>
      <c r="E12" s="793"/>
      <c r="F12" s="793"/>
      <c r="H12" s="61">
        <f t="shared" si="0"/>
        <v>1</v>
      </c>
      <c r="I12" s="35">
        <v>1</v>
      </c>
      <c r="J12" s="462">
        <v>1</v>
      </c>
    </row>
    <row r="13" spans="1:98" s="496" customFormat="1">
      <c r="A13" s="506"/>
      <c r="B13" s="137" t="s">
        <v>430</v>
      </c>
      <c r="C13" s="534"/>
      <c r="D13" s="780">
        <f ca="1">OFFSET(E13,0,$D$8-1)</f>
        <v>0</v>
      </c>
      <c r="E13" s="793"/>
      <c r="F13" s="793"/>
      <c r="H13" s="61">
        <f t="shared" si="0"/>
        <v>1</v>
      </c>
      <c r="I13" s="35">
        <v>1</v>
      </c>
      <c r="J13" s="462">
        <v>1</v>
      </c>
    </row>
    <row r="14" spans="1:98" s="496" customFormat="1">
      <c r="A14" s="506"/>
      <c r="B14" s="137" t="s">
        <v>385</v>
      </c>
      <c r="C14" s="534"/>
      <c r="D14" s="780">
        <f ca="1">OFFSET(E14,0,$D$8-1)</f>
        <v>0</v>
      </c>
      <c r="E14" s="793"/>
      <c r="F14" s="793"/>
      <c r="H14" s="61">
        <f t="shared" si="0"/>
        <v>1</v>
      </c>
      <c r="I14" s="35">
        <v>1</v>
      </c>
      <c r="J14" s="462">
        <v>1</v>
      </c>
    </row>
    <row r="15" spans="1:98" s="496" customFormat="1" ht="13.8" thickBot="1">
      <c r="A15" s="506"/>
      <c r="B15" s="137" t="s">
        <v>480</v>
      </c>
      <c r="C15" s="534"/>
      <c r="D15" s="781">
        <f ca="1">OFFSET(E15,0,$D$8-1)</f>
        <v>0</v>
      </c>
      <c r="E15" s="793"/>
      <c r="F15" s="793"/>
      <c r="H15" s="61">
        <f t="shared" si="0"/>
        <v>1</v>
      </c>
      <c r="I15" s="35">
        <v>1</v>
      </c>
      <c r="J15" s="462">
        <v>1</v>
      </c>
    </row>
    <row r="16" spans="1:98" s="496" customFormat="1" ht="4.95" customHeight="1">
      <c r="A16" s="506"/>
      <c r="B16" s="137"/>
      <c r="C16" s="137"/>
      <c r="D16" s="633"/>
      <c r="E16" s="633"/>
      <c r="F16" s="791"/>
      <c r="H16" s="61">
        <f t="shared" si="0"/>
        <v>0</v>
      </c>
      <c r="I16" s="35">
        <v>0</v>
      </c>
      <c r="J16" s="462">
        <v>1</v>
      </c>
    </row>
    <row r="17" spans="1:21" s="496" customFormat="1" ht="13.8" thickBot="1">
      <c r="A17" s="506"/>
      <c r="B17" s="335" t="s">
        <v>482</v>
      </c>
      <c r="C17" s="137"/>
      <c r="D17" s="633"/>
      <c r="E17" s="633"/>
      <c r="F17" s="791"/>
      <c r="H17" s="61">
        <f t="shared" si="0"/>
        <v>1</v>
      </c>
      <c r="I17" s="35">
        <v>1</v>
      </c>
      <c r="J17" s="462">
        <v>1</v>
      </c>
    </row>
    <row r="18" spans="1:21" s="496" customFormat="1">
      <c r="A18" s="506"/>
      <c r="B18" s="137" t="s">
        <v>431</v>
      </c>
      <c r="C18" s="534"/>
      <c r="D18" s="782">
        <f ca="1">OFFSET(E18,0,$D$8-1)</f>
        <v>0</v>
      </c>
      <c r="E18" s="794"/>
      <c r="F18" s="794"/>
      <c r="H18" s="61">
        <f t="shared" si="0"/>
        <v>1</v>
      </c>
      <c r="I18" s="35">
        <v>1</v>
      </c>
      <c r="J18" s="462">
        <v>1</v>
      </c>
    </row>
    <row r="19" spans="1:21" s="496" customFormat="1" ht="13.8" thickBot="1">
      <c r="A19" s="506"/>
      <c r="B19" s="137" t="s">
        <v>430</v>
      </c>
      <c r="C19" s="534"/>
      <c r="D19" s="783">
        <f ca="1">OFFSET(E19,0,$D$8-1)</f>
        <v>0</v>
      </c>
      <c r="E19" s="794"/>
      <c r="F19" s="794"/>
      <c r="H19" s="61">
        <f t="shared" si="0"/>
        <v>1</v>
      </c>
      <c r="I19" s="35">
        <v>1</v>
      </c>
      <c r="J19" s="462">
        <v>1</v>
      </c>
    </row>
    <row r="20" spans="1:21" s="496" customFormat="1">
      <c r="A20" s="506"/>
      <c r="B20" s="137" t="s">
        <v>481</v>
      </c>
      <c r="C20" s="534"/>
      <c r="D20" s="802">
        <f ca="1">OFFSET(E20,0,$D$8-1)</f>
        <v>0</v>
      </c>
      <c r="E20" s="801">
        <v>0</v>
      </c>
      <c r="F20" s="801">
        <v>0</v>
      </c>
      <c r="H20" s="61">
        <f t="shared" si="0"/>
        <v>1</v>
      </c>
      <c r="I20" s="35">
        <v>1</v>
      </c>
      <c r="J20" s="462">
        <v>1</v>
      </c>
    </row>
    <row r="21" spans="1:21" s="496" customFormat="1">
      <c r="A21" s="506"/>
      <c r="B21" s="137" t="s">
        <v>480</v>
      </c>
      <c r="C21" s="534"/>
      <c r="D21" s="802">
        <f ca="1">OFFSET(E21,0,$D$8-1)</f>
        <v>0</v>
      </c>
      <c r="E21" s="801">
        <v>0</v>
      </c>
      <c r="F21" s="801">
        <v>0</v>
      </c>
      <c r="H21" s="61">
        <f t="shared" si="0"/>
        <v>1</v>
      </c>
      <c r="I21" s="35">
        <v>1</v>
      </c>
      <c r="J21" s="462">
        <v>1</v>
      </c>
    </row>
    <row r="22" spans="1:21" s="506" customFormat="1">
      <c r="B22" s="527"/>
      <c r="C22" s="543"/>
      <c r="D22" s="784"/>
      <c r="E22" s="792"/>
      <c r="F22" s="792"/>
      <c r="H22" s="61">
        <f t="shared" si="0"/>
        <v>0</v>
      </c>
      <c r="I22" s="35">
        <v>0</v>
      </c>
      <c r="J22" s="462">
        <v>1</v>
      </c>
    </row>
    <row r="23" spans="1:21" ht="13.8" thickBot="1">
      <c r="A23" s="69"/>
      <c r="B23" s="504" t="s">
        <v>479</v>
      </c>
      <c r="C23" s="504"/>
      <c r="D23" s="785"/>
      <c r="E23" s="785" t="s">
        <v>477</v>
      </c>
      <c r="F23" s="785" t="s">
        <v>476</v>
      </c>
      <c r="H23" s="61">
        <f t="shared" si="0"/>
        <v>1</v>
      </c>
      <c r="I23" s="35">
        <v>1</v>
      </c>
      <c r="J23" s="462">
        <v>1</v>
      </c>
      <c r="K23" s="492"/>
    </row>
    <row r="24" spans="1:21" s="506" customFormat="1">
      <c r="B24" s="527" t="s">
        <v>606</v>
      </c>
      <c r="C24" s="543"/>
      <c r="D24" s="786">
        <f ca="1">OFFSET(E24,0,$D$8-1)</f>
        <v>0</v>
      </c>
      <c r="E24" s="795"/>
      <c r="F24" s="795"/>
      <c r="H24" s="61">
        <f t="shared" si="0"/>
        <v>1</v>
      </c>
      <c r="I24" s="35">
        <v>1</v>
      </c>
      <c r="J24" s="462">
        <v>1</v>
      </c>
    </row>
    <row r="25" spans="1:21" s="506" customFormat="1" ht="13.8" thickBot="1">
      <c r="B25" s="527" t="s">
        <v>605</v>
      </c>
      <c r="C25" s="543"/>
      <c r="D25" s="787">
        <f ca="1">OFFSET(E25,0,$D$8-1)</f>
        <v>0</v>
      </c>
      <c r="E25" s="795"/>
      <c r="F25" s="795"/>
      <c r="H25" s="61">
        <f t="shared" si="0"/>
        <v>1</v>
      </c>
      <c r="I25" s="35">
        <v>1</v>
      </c>
      <c r="J25" s="462">
        <v>1</v>
      </c>
    </row>
    <row r="26" spans="1:21" s="506" customFormat="1">
      <c r="B26" s="527"/>
      <c r="C26" s="543"/>
      <c r="D26" s="784"/>
      <c r="E26" s="792"/>
      <c r="F26" s="792"/>
      <c r="H26" s="61">
        <f t="shared" si="0"/>
        <v>0</v>
      </c>
      <c r="I26" s="35">
        <v>0</v>
      </c>
      <c r="J26" s="462">
        <v>1</v>
      </c>
    </row>
    <row r="27" spans="1:21" ht="13.8" thickBot="1">
      <c r="A27" s="69"/>
      <c r="B27" s="504" t="s">
        <v>478</v>
      </c>
      <c r="C27" s="504"/>
      <c r="D27" s="785"/>
      <c r="E27" s="785" t="s">
        <v>477</v>
      </c>
      <c r="F27" s="785" t="s">
        <v>476</v>
      </c>
      <c r="H27" s="61">
        <f t="shared" si="0"/>
        <v>1</v>
      </c>
      <c r="I27" s="35">
        <v>1</v>
      </c>
      <c r="J27" s="462">
        <v>1</v>
      </c>
      <c r="K27" s="492"/>
    </row>
    <row r="28" spans="1:21" s="496" customFormat="1">
      <c r="B28" s="137" t="s">
        <v>630</v>
      </c>
      <c r="C28" s="137"/>
      <c r="D28" s="788">
        <f ca="1">OFFSET(E28,0,$D$8-1)</f>
        <v>0</v>
      </c>
      <c r="E28" s="796"/>
      <c r="F28" s="796"/>
      <c r="H28" s="61">
        <f t="shared" si="0"/>
        <v>1</v>
      </c>
      <c r="I28" s="35">
        <v>1</v>
      </c>
      <c r="J28" s="462">
        <v>1</v>
      </c>
    </row>
    <row r="29" spans="1:21" s="496" customFormat="1">
      <c r="B29" s="137" t="s">
        <v>631</v>
      </c>
      <c r="C29" s="137"/>
      <c r="D29" s="789">
        <f ca="1">OFFSET(E29,0,$D$8-1)</f>
        <v>0</v>
      </c>
      <c r="E29" s="796"/>
      <c r="F29" s="797"/>
      <c r="H29" s="61">
        <f t="shared" si="0"/>
        <v>1</v>
      </c>
      <c r="I29" s="35">
        <v>1</v>
      </c>
      <c r="J29" s="462">
        <v>1</v>
      </c>
    </row>
    <row r="30" spans="1:21" s="496" customFormat="1" ht="13.8" thickBot="1">
      <c r="A30" s="506"/>
      <c r="B30" s="137" t="s">
        <v>451</v>
      </c>
      <c r="C30" s="335"/>
      <c r="D30" s="787">
        <f ca="1">OFFSET(E30,0,$D$8-1)</f>
        <v>0</v>
      </c>
      <c r="E30" s="795"/>
      <c r="F30" s="795"/>
      <c r="G30" s="137"/>
      <c r="H30" s="61">
        <f t="shared" si="0"/>
        <v>1</v>
      </c>
      <c r="I30" s="35">
        <v>1</v>
      </c>
      <c r="J30" s="462">
        <v>1</v>
      </c>
      <c r="R30" s="137"/>
      <c r="T30" s="137"/>
      <c r="U30" s="137"/>
    </row>
    <row r="31" spans="1:21" s="506" customFormat="1">
      <c r="B31" s="527"/>
      <c r="C31" s="543"/>
      <c r="D31" s="784"/>
      <c r="E31" s="792"/>
      <c r="F31" s="792"/>
      <c r="H31" s="61">
        <f t="shared" si="0"/>
        <v>0</v>
      </c>
      <c r="I31" s="35">
        <v>0</v>
      </c>
      <c r="J31" s="462">
        <v>1</v>
      </c>
    </row>
    <row r="32" spans="1:21" ht="13.8" thickBot="1">
      <c r="A32" s="69"/>
      <c r="B32" s="504" t="s">
        <v>292</v>
      </c>
      <c r="C32" s="504"/>
      <c r="D32" s="639"/>
      <c r="E32" s="785" t="s">
        <v>477</v>
      </c>
      <c r="F32" s="785" t="s">
        <v>476</v>
      </c>
      <c r="H32" s="61">
        <f t="shared" si="0"/>
        <v>1</v>
      </c>
      <c r="I32" s="35">
        <v>1</v>
      </c>
      <c r="J32" s="462">
        <v>1</v>
      </c>
      <c r="K32" s="492"/>
    </row>
    <row r="33" spans="1:24" s="496" customFormat="1">
      <c r="A33" s="506"/>
      <c r="B33" s="137" t="s">
        <v>475</v>
      </c>
      <c r="C33" s="534"/>
      <c r="D33" s="782">
        <f ca="1">OFFSET(E33,0,$D$8-1)</f>
        <v>0</v>
      </c>
      <c r="E33" s="794"/>
      <c r="F33" s="794"/>
      <c r="H33" s="61">
        <f t="shared" si="0"/>
        <v>1</v>
      </c>
      <c r="I33" s="35">
        <v>1</v>
      </c>
      <c r="J33" s="462">
        <v>1</v>
      </c>
    </row>
    <row r="34" spans="1:24" s="496" customFormat="1" ht="13.8" thickBot="1">
      <c r="A34" s="506"/>
      <c r="B34" s="137" t="s">
        <v>436</v>
      </c>
      <c r="C34" s="534"/>
      <c r="D34" s="790">
        <f ca="1">OFFSET(E34,0,$D$8-1)</f>
        <v>0</v>
      </c>
      <c r="E34" s="793"/>
      <c r="F34" s="793"/>
      <c r="H34" s="61">
        <f t="shared" si="0"/>
        <v>1</v>
      </c>
      <c r="I34" s="35">
        <v>1</v>
      </c>
      <c r="J34" s="462">
        <v>1</v>
      </c>
    </row>
    <row r="35" spans="1:24" s="496" customFormat="1">
      <c r="A35" s="506"/>
      <c r="B35" s="137"/>
      <c r="C35" s="137"/>
      <c r="D35" s="485"/>
      <c r="E35" s="484"/>
      <c r="F35" s="542"/>
      <c r="H35" s="61">
        <f t="shared" si="0"/>
        <v>0</v>
      </c>
      <c r="I35" s="35">
        <v>0</v>
      </c>
      <c r="J35" s="462">
        <v>1</v>
      </c>
    </row>
    <row r="36" spans="1:24">
      <c r="A36" s="537"/>
      <c r="B36" s="762" t="s">
        <v>474</v>
      </c>
      <c r="C36" s="762"/>
      <c r="D36" s="763"/>
      <c r="E36" s="763"/>
      <c r="F36" s="763"/>
      <c r="H36" s="61">
        <f t="shared" si="0"/>
        <v>1</v>
      </c>
      <c r="I36" s="35">
        <v>1</v>
      </c>
      <c r="J36" s="462">
        <v>1</v>
      </c>
      <c r="K36" s="175"/>
    </row>
    <row r="37" spans="1:24" ht="13.8" thickBot="1">
      <c r="A37" s="69"/>
      <c r="B37" s="504" t="s">
        <v>473</v>
      </c>
      <c r="C37" s="504"/>
      <c r="D37" s="504"/>
      <c r="E37" s="470">
        <f>F113</f>
        <v>2019</v>
      </c>
      <c r="F37" s="470">
        <f>E37+1</f>
        <v>2020</v>
      </c>
      <c r="H37" s="61">
        <f t="shared" si="0"/>
        <v>1</v>
      </c>
      <c r="I37" s="35">
        <v>1</v>
      </c>
      <c r="J37" s="462">
        <v>1</v>
      </c>
      <c r="K37" s="492"/>
    </row>
    <row r="38" spans="1:24" s="496" customFormat="1">
      <c r="A38" s="506"/>
      <c r="B38" s="137" t="s">
        <v>472</v>
      </c>
      <c r="C38" s="137"/>
      <c r="D38" s="485"/>
      <c r="E38" s="484">
        <f ca="1">IFERROR($E$71/'DCF - Financials'!K35,0)</f>
        <v>0</v>
      </c>
      <c r="F38" s="484">
        <f ca="1">IFERROR($E$71/'DCF - Financials'!L35,0)</f>
        <v>0</v>
      </c>
      <c r="H38" s="61">
        <f t="shared" si="0"/>
        <v>1</v>
      </c>
      <c r="I38" s="35">
        <v>1</v>
      </c>
      <c r="J38" s="462">
        <v>1</v>
      </c>
    </row>
    <row r="39" spans="1:24" s="496" customFormat="1">
      <c r="A39" s="506"/>
      <c r="B39" s="137" t="s">
        <v>471</v>
      </c>
      <c r="C39" s="137"/>
      <c r="D39" s="485"/>
      <c r="E39" s="484">
        <f ca="1">IFERROR($E$71/'DCF - Financials'!K12,0)</f>
        <v>0</v>
      </c>
      <c r="F39" s="484">
        <f ca="1">IFERROR($E$71/'DCF - Financials'!L12,0)</f>
        <v>0</v>
      </c>
      <c r="H39" s="61">
        <f t="shared" si="0"/>
        <v>1</v>
      </c>
      <c r="I39" s="35">
        <v>1</v>
      </c>
      <c r="J39" s="462">
        <v>1</v>
      </c>
    </row>
    <row r="40" spans="1:24" s="496" customFormat="1">
      <c r="A40" s="506"/>
      <c r="B40" s="137" t="s">
        <v>470</v>
      </c>
      <c r="C40" s="137"/>
      <c r="D40" s="485"/>
      <c r="E40" s="484">
        <f>IFERROR($F$91/'DCF - Financials'!K47,0)</f>
        <v>0</v>
      </c>
      <c r="F40" s="484">
        <f>IFERROR($F$91/'DCF - Financials'!L47,0)</f>
        <v>0</v>
      </c>
      <c r="H40" s="61">
        <f t="shared" si="0"/>
        <v>1</v>
      </c>
      <c r="I40" s="35">
        <v>1</v>
      </c>
      <c r="J40" s="462">
        <v>1</v>
      </c>
    </row>
    <row r="41" spans="1:24" s="496" customFormat="1" ht="4.5" customHeight="1">
      <c r="A41" s="506"/>
      <c r="B41" s="137"/>
      <c r="C41" s="137"/>
      <c r="D41" s="485"/>
      <c r="E41" s="484"/>
      <c r="F41" s="541"/>
      <c r="H41" s="61">
        <f t="shared" si="0"/>
        <v>0</v>
      </c>
      <c r="I41" s="35">
        <v>0</v>
      </c>
      <c r="J41" s="462">
        <v>1</v>
      </c>
    </row>
    <row r="42" spans="1:24" s="496" customFormat="1">
      <c r="A42" s="506"/>
      <c r="B42" s="137" t="s">
        <v>406</v>
      </c>
      <c r="C42" s="137"/>
      <c r="D42" s="485"/>
      <c r="E42" s="484" t="str">
        <f ca="1">'LBO - Summary'!I43</f>
        <v>NM</v>
      </c>
      <c r="F42" s="539" t="str">
        <f ca="1">'LBO - Summary'!J43</f>
        <v>NM</v>
      </c>
      <c r="H42" s="61">
        <f t="shared" si="0"/>
        <v>1</v>
      </c>
      <c r="I42" s="35">
        <v>1</v>
      </c>
      <c r="J42" s="462">
        <v>1</v>
      </c>
    </row>
    <row r="43" spans="1:24" s="496" customFormat="1">
      <c r="A43" s="506"/>
      <c r="B43" s="137" t="s">
        <v>469</v>
      </c>
      <c r="C43" s="137"/>
      <c r="D43" s="485"/>
      <c r="E43" s="540">
        <f ca="1">IFERROR('LBO - Summary'!I36/'LBO - Summary'!I34,0)</f>
        <v>0</v>
      </c>
      <c r="F43" s="539">
        <f ca="1">IFERROR('LBO - Summary'!J36/'LBO - Summary'!J34,0)</f>
        <v>0</v>
      </c>
      <c r="H43" s="61">
        <f t="shared" si="0"/>
        <v>1</v>
      </c>
      <c r="I43" s="35">
        <v>1</v>
      </c>
      <c r="J43" s="462">
        <v>1</v>
      </c>
    </row>
    <row r="44" spans="1:24" s="506" customFormat="1" ht="4.5" customHeight="1">
      <c r="B44" s="62"/>
      <c r="C44" s="62"/>
      <c r="D44" s="485"/>
      <c r="E44" s="699" t="s">
        <v>580</v>
      </c>
      <c r="F44" s="539"/>
      <c r="H44" s="61">
        <f t="shared" si="0"/>
        <v>0</v>
      </c>
      <c r="I44" s="35">
        <v>0</v>
      </c>
      <c r="J44" s="462">
        <v>1</v>
      </c>
    </row>
    <row r="45" spans="1:24" s="334" customFormat="1">
      <c r="A45" s="390"/>
      <c r="B45" s="476" t="s">
        <v>434</v>
      </c>
      <c r="C45" s="476"/>
      <c r="D45" s="476"/>
      <c r="E45" s="476"/>
      <c r="F45" s="538">
        <f>F117</f>
        <v>0</v>
      </c>
      <c r="H45" s="61">
        <f t="shared" si="0"/>
        <v>1</v>
      </c>
      <c r="I45" s="35">
        <v>1</v>
      </c>
      <c r="J45" s="462">
        <v>1</v>
      </c>
    </row>
    <row r="46" spans="1:24" s="496" customFormat="1">
      <c r="A46" s="506"/>
      <c r="H46" s="61">
        <f t="shared" si="0"/>
        <v>0</v>
      </c>
      <c r="I46" s="35">
        <v>0</v>
      </c>
      <c r="J46" s="462">
        <v>1</v>
      </c>
    </row>
    <row r="47" spans="1:24" s="496" customFormat="1">
      <c r="A47" s="537"/>
      <c r="B47" s="762" t="s">
        <v>468</v>
      </c>
      <c r="C47" s="762"/>
      <c r="D47" s="763"/>
      <c r="E47" s="763"/>
      <c r="F47" s="763"/>
      <c r="H47" s="61">
        <f t="shared" si="0"/>
        <v>1</v>
      </c>
      <c r="I47" s="35">
        <v>1</v>
      </c>
      <c r="J47" s="462">
        <v>1</v>
      </c>
    </row>
    <row r="48" spans="1:24" s="496" customFormat="1" ht="13.8" thickBot="1">
      <c r="A48" s="506"/>
      <c r="B48" s="504" t="s">
        <v>467</v>
      </c>
      <c r="C48" s="503" t="s">
        <v>466</v>
      </c>
      <c r="D48" s="504" t="s">
        <v>406</v>
      </c>
      <c r="E48" s="503" t="s">
        <v>440</v>
      </c>
      <c r="F48" s="503" t="s">
        <v>465</v>
      </c>
      <c r="G48" s="137"/>
      <c r="H48" s="61">
        <f t="shared" si="0"/>
        <v>1</v>
      </c>
      <c r="I48" s="35">
        <v>1</v>
      </c>
      <c r="J48" s="462">
        <v>1</v>
      </c>
      <c r="X48" s="536"/>
    </row>
    <row r="49" spans="1:23" s="496" customFormat="1">
      <c r="A49" s="506"/>
      <c r="B49" s="137" t="s">
        <v>431</v>
      </c>
      <c r="C49" s="534">
        <v>1</v>
      </c>
      <c r="D49" s="533">
        <f ca="1">D12</f>
        <v>0</v>
      </c>
      <c r="E49" s="8">
        <f ca="1">D49*'LBO - Summary'!$I$56</f>
        <v>0</v>
      </c>
      <c r="F49" s="488">
        <f ca="1">E49/$E$59</f>
        <v>0</v>
      </c>
      <c r="G49" s="137"/>
      <c r="H49" s="61">
        <f t="shared" si="0"/>
        <v>1</v>
      </c>
      <c r="I49" s="35">
        <v>1</v>
      </c>
      <c r="J49" s="462">
        <v>1</v>
      </c>
    </row>
    <row r="50" spans="1:23" s="496" customFormat="1">
      <c r="A50" s="506"/>
      <c r="B50" s="137" t="s">
        <v>430</v>
      </c>
      <c r="C50" s="534">
        <v>0</v>
      </c>
      <c r="D50" s="533">
        <f ca="1">D13</f>
        <v>0</v>
      </c>
      <c r="E50" s="8">
        <f ca="1">D50*'LBO - Summary'!$I$56</f>
        <v>0</v>
      </c>
      <c r="F50" s="488">
        <f ca="1">E50/$E$59</f>
        <v>0</v>
      </c>
      <c r="G50" s="137"/>
      <c r="H50" s="61">
        <f t="shared" si="0"/>
        <v>1</v>
      </c>
      <c r="I50" s="35">
        <v>1</v>
      </c>
      <c r="J50" s="462">
        <v>1</v>
      </c>
    </row>
    <row r="51" spans="1:23" s="496" customFormat="1">
      <c r="A51" s="506"/>
      <c r="B51" s="535" t="s">
        <v>385</v>
      </c>
      <c r="C51" s="534">
        <v>1</v>
      </c>
      <c r="D51" s="533">
        <f ca="1">D14</f>
        <v>0</v>
      </c>
      <c r="E51" s="8">
        <f ca="1">D51*'LBO - Summary'!$I$56</f>
        <v>0</v>
      </c>
      <c r="F51" s="488">
        <f ca="1">E51/$E$59</f>
        <v>0</v>
      </c>
      <c r="H51" s="61">
        <f t="shared" si="0"/>
        <v>1</v>
      </c>
      <c r="I51" s="35">
        <v>1</v>
      </c>
      <c r="J51" s="462">
        <v>1</v>
      </c>
    </row>
    <row r="52" spans="1:23" s="496" customFormat="1">
      <c r="A52" s="506"/>
      <c r="B52" s="137" t="s">
        <v>428</v>
      </c>
      <c r="C52" s="534">
        <v>0</v>
      </c>
      <c r="D52" s="533">
        <f ca="1">D15</f>
        <v>0</v>
      </c>
      <c r="E52" s="8">
        <f ca="1">MIN(D52*'LBO - Summary'!$I$56,E66)</f>
        <v>0</v>
      </c>
      <c r="F52" s="488">
        <f ca="1">E52/$E$59</f>
        <v>0</v>
      </c>
      <c r="G52" s="137"/>
      <c r="H52" s="61">
        <f t="shared" si="0"/>
        <v>1</v>
      </c>
      <c r="I52" s="35">
        <v>1</v>
      </c>
      <c r="J52" s="462">
        <v>1</v>
      </c>
      <c r="R52" s="137"/>
      <c r="S52" s="137"/>
      <c r="T52" s="137"/>
      <c r="U52" s="137"/>
      <c r="V52" s="137"/>
      <c r="W52" s="137"/>
    </row>
    <row r="53" spans="1:23" s="496" customFormat="1">
      <c r="A53" s="506"/>
      <c r="B53" s="519" t="s">
        <v>420</v>
      </c>
      <c r="C53" s="519"/>
      <c r="D53" s="532">
        <f ca="1">SUM(D49:D52)</f>
        <v>0</v>
      </c>
      <c r="E53" s="531">
        <f ca="1">SUM(E49:E52)</f>
        <v>0</v>
      </c>
      <c r="F53" s="528">
        <f ca="1">E53/$E$59</f>
        <v>0</v>
      </c>
      <c r="G53" s="137"/>
      <c r="H53" s="61">
        <f t="shared" si="0"/>
        <v>1</v>
      </c>
      <c r="I53" s="35">
        <v>1</v>
      </c>
      <c r="J53" s="462">
        <v>1</v>
      </c>
    </row>
    <row r="54" spans="1:23" s="496" customFormat="1" ht="4.5" customHeight="1">
      <c r="A54" s="506"/>
      <c r="B54" s="137"/>
      <c r="C54" s="137"/>
      <c r="D54" s="137"/>
      <c r="E54" s="27"/>
      <c r="F54" s="137"/>
      <c r="H54" s="61">
        <f t="shared" si="0"/>
        <v>0</v>
      </c>
      <c r="I54" s="35">
        <v>0</v>
      </c>
      <c r="J54" s="462">
        <v>1</v>
      </c>
      <c r="K54" s="137"/>
      <c r="R54" s="137"/>
      <c r="T54" s="137"/>
      <c r="U54" s="137"/>
      <c r="V54" s="137"/>
    </row>
    <row r="55" spans="1:23" s="496" customFormat="1">
      <c r="A55" s="506"/>
      <c r="B55" s="137" t="s">
        <v>425</v>
      </c>
      <c r="C55" s="137"/>
      <c r="D55" s="530"/>
      <c r="E55" s="27">
        <f ca="1">E68-E53-E58</f>
        <v>490.5</v>
      </c>
      <c r="F55" s="488">
        <f ca="1">E55/$E$59</f>
        <v>0.28288828652171405</v>
      </c>
      <c r="H55" s="61">
        <f t="shared" si="0"/>
        <v>1</v>
      </c>
      <c r="I55" s="35">
        <v>1</v>
      </c>
      <c r="J55" s="462">
        <v>1</v>
      </c>
    </row>
    <row r="56" spans="1:23" s="496" customFormat="1">
      <c r="A56" s="506"/>
      <c r="B56" s="519" t="s">
        <v>464</v>
      </c>
      <c r="C56" s="519"/>
      <c r="D56" s="519"/>
      <c r="E56" s="529">
        <f ca="1">SUM(E55:E55)</f>
        <v>490.5</v>
      </c>
      <c r="F56" s="528">
        <f ca="1">E56/$E$59</f>
        <v>0.28288828652171405</v>
      </c>
      <c r="H56" s="61">
        <f t="shared" si="0"/>
        <v>1</v>
      </c>
      <c r="I56" s="35">
        <v>1</v>
      </c>
      <c r="J56" s="462">
        <v>1</v>
      </c>
    </row>
    <row r="57" spans="1:23" s="496" customFormat="1" ht="4.5" customHeight="1">
      <c r="A57" s="506"/>
      <c r="B57" s="137"/>
      <c r="C57" s="137"/>
      <c r="D57" s="137"/>
      <c r="E57" s="27"/>
      <c r="F57" s="137"/>
      <c r="H57" s="61">
        <f t="shared" si="0"/>
        <v>0</v>
      </c>
      <c r="I57" s="35">
        <v>0</v>
      </c>
      <c r="J57" s="462">
        <v>1</v>
      </c>
      <c r="K57" s="137"/>
      <c r="R57" s="137"/>
      <c r="T57" s="137"/>
      <c r="U57" s="137"/>
      <c r="V57" s="137"/>
    </row>
    <row r="58" spans="1:23" s="336" customFormat="1">
      <c r="A58" s="386"/>
      <c r="B58" s="527" t="s">
        <v>553</v>
      </c>
      <c r="C58" s="527"/>
      <c r="D58" s="62"/>
      <c r="E58" s="526">
        <f ca="1">F86</f>
        <v>1243.4000000000001</v>
      </c>
      <c r="F58" s="487">
        <f ca="1">E58/$E$59</f>
        <v>0.71711171347828595</v>
      </c>
      <c r="H58" s="61">
        <f t="shared" si="0"/>
        <v>1</v>
      </c>
      <c r="I58" s="35">
        <v>1</v>
      </c>
      <c r="J58" s="462">
        <v>1</v>
      </c>
      <c r="R58" s="137"/>
      <c r="S58" s="525"/>
      <c r="T58" s="137"/>
      <c r="U58" s="137"/>
      <c r="V58" s="137"/>
      <c r="W58" s="137"/>
    </row>
    <row r="59" spans="1:23" s="496" customFormat="1">
      <c r="A59" s="506"/>
      <c r="B59" s="157" t="s">
        <v>463</v>
      </c>
      <c r="C59" s="157"/>
      <c r="D59" s="225"/>
      <c r="E59" s="477">
        <f ca="1">SUM(E53,E56,E58)</f>
        <v>1733.9</v>
      </c>
      <c r="F59" s="514">
        <f ca="1">F53+F56+F58</f>
        <v>1</v>
      </c>
      <c r="H59" s="61">
        <f t="shared" si="0"/>
        <v>1</v>
      </c>
      <c r="I59" s="35">
        <v>1</v>
      </c>
      <c r="J59" s="462">
        <v>1</v>
      </c>
      <c r="R59" s="137"/>
      <c r="T59" s="137"/>
      <c r="U59" s="137"/>
    </row>
    <row r="60" spans="1:23" s="496" customFormat="1">
      <c r="A60" s="506"/>
      <c r="H60" s="61">
        <f t="shared" si="0"/>
        <v>0</v>
      </c>
      <c r="I60" s="35">
        <v>0</v>
      </c>
      <c r="J60" s="462">
        <v>1</v>
      </c>
      <c r="R60" s="137"/>
      <c r="T60" s="137"/>
      <c r="U60" s="137"/>
    </row>
    <row r="61" spans="1:23" s="496" customFormat="1" ht="13.8" thickBot="1">
      <c r="A61" s="506"/>
      <c r="B61" s="504" t="s">
        <v>462</v>
      </c>
      <c r="C61" s="504"/>
      <c r="D61" s="504"/>
      <c r="E61" s="503"/>
      <c r="F61" s="503"/>
      <c r="H61" s="61">
        <f t="shared" si="0"/>
        <v>1</v>
      </c>
      <c r="I61" s="35">
        <v>1</v>
      </c>
      <c r="J61" s="462">
        <v>1</v>
      </c>
    </row>
    <row r="62" spans="1:23" s="496" customFormat="1">
      <c r="A62" s="506"/>
      <c r="B62" s="137" t="s">
        <v>429</v>
      </c>
      <c r="C62" s="137"/>
      <c r="D62" s="137"/>
      <c r="E62" s="27">
        <f>F92</f>
        <v>0</v>
      </c>
      <c r="F62" s="515">
        <f ca="1">E62/$E$68</f>
        <v>0</v>
      </c>
      <c r="H62" s="61">
        <f t="shared" si="0"/>
        <v>1</v>
      </c>
      <c r="I62" s="35">
        <v>1</v>
      </c>
      <c r="J62" s="462">
        <v>1</v>
      </c>
    </row>
    <row r="63" spans="1:23" s="496" customFormat="1">
      <c r="A63" s="506"/>
      <c r="B63" s="137" t="s">
        <v>443</v>
      </c>
      <c r="C63" s="137"/>
      <c r="D63" s="137"/>
      <c r="E63" s="27">
        <f ca="1">F95</f>
        <v>0</v>
      </c>
      <c r="F63" s="515">
        <f ca="1">E63/$E$68</f>
        <v>0</v>
      </c>
      <c r="H63" s="61">
        <f t="shared" si="0"/>
        <v>1</v>
      </c>
      <c r="I63" s="35">
        <v>1</v>
      </c>
      <c r="J63" s="462">
        <v>1</v>
      </c>
    </row>
    <row r="64" spans="1:23" s="334" customFormat="1">
      <c r="A64" s="390"/>
      <c r="B64" s="524" t="s">
        <v>429</v>
      </c>
      <c r="C64" s="524"/>
      <c r="D64" s="524"/>
      <c r="E64" s="523">
        <f ca="1">SUM(E62:E63)</f>
        <v>0</v>
      </c>
      <c r="F64" s="522">
        <f ca="1">E64/$E$68</f>
        <v>0</v>
      </c>
      <c r="H64" s="61">
        <f t="shared" si="0"/>
        <v>1</v>
      </c>
      <c r="I64" s="35">
        <v>1</v>
      </c>
      <c r="J64" s="462">
        <v>1</v>
      </c>
    </row>
    <row r="65" spans="1:24" s="334" customFormat="1" ht="4.5" customHeight="1">
      <c r="A65" s="390"/>
      <c r="B65" s="335"/>
      <c r="C65" s="335"/>
      <c r="D65" s="335"/>
      <c r="E65" s="25"/>
      <c r="F65" s="521"/>
      <c r="H65" s="61">
        <f t="shared" si="0"/>
        <v>0</v>
      </c>
      <c r="I65" s="35">
        <v>0</v>
      </c>
      <c r="J65" s="462">
        <v>1</v>
      </c>
    </row>
    <row r="66" spans="1:24" s="496" customFormat="1">
      <c r="A66" s="506"/>
      <c r="B66" s="137" t="s">
        <v>461</v>
      </c>
      <c r="C66" s="137"/>
      <c r="D66" s="137"/>
      <c r="E66" s="8">
        <f>F99</f>
        <v>1733.9</v>
      </c>
      <c r="F66" s="515">
        <f ca="1">E66/$E$68</f>
        <v>1</v>
      </c>
      <c r="H66" s="61">
        <f t="shared" si="0"/>
        <v>1</v>
      </c>
      <c r="I66" s="35">
        <v>1</v>
      </c>
      <c r="J66" s="462">
        <v>1</v>
      </c>
    </row>
    <row r="67" spans="1:24" s="496" customFormat="1">
      <c r="A67" s="506"/>
      <c r="B67" s="137" t="s">
        <v>427</v>
      </c>
      <c r="C67" s="137"/>
      <c r="D67" s="137"/>
      <c r="E67" s="27">
        <f ca="1">F106</f>
        <v>0</v>
      </c>
      <c r="F67" s="515">
        <f ca="1">E67/$E$68</f>
        <v>0</v>
      </c>
      <c r="H67" s="61">
        <f t="shared" si="0"/>
        <v>1</v>
      </c>
      <c r="I67" s="35">
        <v>1</v>
      </c>
      <c r="J67" s="462">
        <v>1</v>
      </c>
    </row>
    <row r="68" spans="1:24" s="496" customFormat="1">
      <c r="A68" s="62" t="str">
        <f ca="1">IF(E68=E59,"OK","Error")</f>
        <v>OK</v>
      </c>
      <c r="B68" s="520" t="s">
        <v>460</v>
      </c>
      <c r="C68" s="520"/>
      <c r="D68" s="519"/>
      <c r="E68" s="518">
        <f ca="1">SUM(E64:E67)</f>
        <v>1733.9</v>
      </c>
      <c r="F68" s="517">
        <f ca="1">SUM(F64:F67)</f>
        <v>1</v>
      </c>
      <c r="H68" s="61">
        <f t="shared" si="0"/>
        <v>1</v>
      </c>
      <c r="I68" s="35">
        <v>1</v>
      </c>
      <c r="J68" s="462">
        <v>1</v>
      </c>
    </row>
    <row r="69" spans="1:24" s="496" customFormat="1" ht="4.5" customHeight="1">
      <c r="A69" s="62"/>
      <c r="B69" s="33"/>
      <c r="C69" s="33"/>
      <c r="D69" s="62"/>
      <c r="E69" s="32"/>
      <c r="F69" s="516"/>
      <c r="H69" s="61">
        <f t="shared" si="0"/>
        <v>0</v>
      </c>
      <c r="I69" s="35">
        <v>0</v>
      </c>
      <c r="J69" s="462">
        <v>1</v>
      </c>
    </row>
    <row r="70" spans="1:24" s="496" customFormat="1">
      <c r="B70" s="62" t="s">
        <v>459</v>
      </c>
      <c r="C70" s="62"/>
      <c r="D70" s="137"/>
      <c r="E70" s="27">
        <f>-F84</f>
        <v>-1243.4000000000001</v>
      </c>
      <c r="F70" s="515">
        <f ca="1">E70/$E$71</f>
        <v>-2.5349643221202856</v>
      </c>
      <c r="H70" s="61">
        <f t="shared" si="0"/>
        <v>1</v>
      </c>
      <c r="I70" s="35">
        <v>1</v>
      </c>
      <c r="J70" s="462">
        <v>1</v>
      </c>
    </row>
    <row r="71" spans="1:24" s="496" customFormat="1">
      <c r="B71" s="157" t="s">
        <v>458</v>
      </c>
      <c r="C71" s="157"/>
      <c r="D71" s="225"/>
      <c r="E71" s="477">
        <f ca="1">E68+E70</f>
        <v>490.5</v>
      </c>
      <c r="F71" s="514">
        <f ca="1">F70+F68</f>
        <v>-1.5349643221202856</v>
      </c>
      <c r="H71" s="61">
        <f t="shared" si="0"/>
        <v>1</v>
      </c>
      <c r="I71" s="35">
        <v>1</v>
      </c>
      <c r="J71" s="462">
        <v>1</v>
      </c>
    </row>
    <row r="72" spans="1:24" s="496" customFormat="1">
      <c r="A72" s="506"/>
      <c r="B72" s="137"/>
      <c r="C72" s="137"/>
      <c r="D72" s="137"/>
      <c r="E72" s="137"/>
      <c r="F72" s="137"/>
      <c r="G72" s="137"/>
      <c r="H72" s="61">
        <f t="shared" ref="H72:H117" si="1">IF(NOT(ISBLANK(B72)), 1, 0)</f>
        <v>0</v>
      </c>
      <c r="I72" s="35">
        <v>0</v>
      </c>
      <c r="J72" s="462">
        <v>1</v>
      </c>
      <c r="K72" s="137"/>
      <c r="X72" s="335"/>
    </row>
    <row r="73" spans="1:24" s="496" customFormat="1">
      <c r="A73" s="494"/>
      <c r="B73" s="473" t="s">
        <v>457</v>
      </c>
      <c r="C73" s="473"/>
      <c r="D73" s="472"/>
      <c r="E73" s="472"/>
      <c r="F73" s="472"/>
      <c r="H73" s="61">
        <f t="shared" si="1"/>
        <v>1</v>
      </c>
      <c r="I73" s="35">
        <v>1</v>
      </c>
      <c r="J73" s="462">
        <v>1</v>
      </c>
    </row>
    <row r="74" spans="1:24" s="496" customFormat="1" ht="13.8" thickBot="1">
      <c r="A74" s="506"/>
      <c r="B74" s="504" t="s">
        <v>456</v>
      </c>
      <c r="C74" s="504"/>
      <c r="D74" s="504"/>
      <c r="E74" s="503" t="s">
        <v>455</v>
      </c>
      <c r="F74" s="503" t="s">
        <v>441</v>
      </c>
      <c r="H74" s="61">
        <f t="shared" si="1"/>
        <v>1</v>
      </c>
      <c r="I74" s="35">
        <v>1</v>
      </c>
      <c r="J74" s="462">
        <v>1</v>
      </c>
    </row>
    <row r="75" spans="1:24" s="496" customFormat="1">
      <c r="A75" s="506"/>
      <c r="B75" s="137" t="str">
        <f>B49</f>
        <v>Senior Debt</v>
      </c>
      <c r="C75" s="137"/>
      <c r="D75" s="137"/>
      <c r="E75" s="513">
        <v>2</v>
      </c>
      <c r="F75" s="13">
        <f ca="1">D18</f>
        <v>0</v>
      </c>
      <c r="H75" s="61">
        <f t="shared" si="1"/>
        <v>1</v>
      </c>
      <c r="I75" s="35">
        <v>1</v>
      </c>
      <c r="J75" s="462">
        <v>1</v>
      </c>
    </row>
    <row r="76" spans="1:24" s="496" customFormat="1">
      <c r="A76" s="506"/>
      <c r="B76" s="137" t="str">
        <f>B50</f>
        <v>Junior Debt</v>
      </c>
      <c r="C76" s="137"/>
      <c r="D76" s="137"/>
      <c r="E76" s="513">
        <v>1</v>
      </c>
      <c r="F76" s="13">
        <f ca="1">D19</f>
        <v>0</v>
      </c>
      <c r="H76" s="61">
        <f t="shared" si="1"/>
        <v>1</v>
      </c>
      <c r="I76" s="35">
        <v>1</v>
      </c>
      <c r="J76" s="462">
        <v>1</v>
      </c>
    </row>
    <row r="77" spans="1:24" s="496" customFormat="1">
      <c r="A77" s="506"/>
      <c r="B77" s="137" t="str">
        <f>B51</f>
        <v>Revolver</v>
      </c>
      <c r="C77" s="137"/>
      <c r="D77" s="137"/>
      <c r="E77" s="513">
        <v>3</v>
      </c>
      <c r="F77" s="13">
        <f ca="1">D20</f>
        <v>0</v>
      </c>
      <c r="H77" s="61">
        <f t="shared" si="1"/>
        <v>1</v>
      </c>
      <c r="I77" s="35">
        <v>1</v>
      </c>
      <c r="J77" s="462">
        <v>1</v>
      </c>
    </row>
    <row r="78" spans="1:24" s="496" customFormat="1">
      <c r="A78" s="506"/>
      <c r="B78" s="137" t="str">
        <f>B52</f>
        <v>Assumed Debt</v>
      </c>
      <c r="C78" s="137"/>
      <c r="D78" s="137"/>
      <c r="E78" s="513">
        <v>4</v>
      </c>
      <c r="F78" s="13">
        <f ca="1">$D$21</f>
        <v>0</v>
      </c>
      <c r="H78" s="61">
        <f t="shared" si="1"/>
        <v>1</v>
      </c>
      <c r="I78" s="35">
        <v>1</v>
      </c>
      <c r="J78" s="462">
        <v>1</v>
      </c>
    </row>
    <row r="79" spans="1:24" s="496" customFormat="1">
      <c r="A79" s="506"/>
      <c r="H79" s="61">
        <f t="shared" si="1"/>
        <v>0</v>
      </c>
      <c r="I79" s="35">
        <v>0</v>
      </c>
      <c r="J79" s="462">
        <v>1</v>
      </c>
    </row>
    <row r="80" spans="1:24" s="496" customFormat="1" ht="13.8" thickBot="1">
      <c r="A80" s="506"/>
      <c r="B80" s="504" t="s">
        <v>454</v>
      </c>
      <c r="C80" s="504"/>
      <c r="D80" s="504"/>
      <c r="E80" s="503"/>
      <c r="F80" s="503"/>
      <c r="H80" s="61">
        <f t="shared" si="1"/>
        <v>1</v>
      </c>
      <c r="I80" s="35">
        <v>1</v>
      </c>
      <c r="J80" s="462">
        <v>1</v>
      </c>
      <c r="R80" s="137"/>
      <c r="T80" s="137"/>
      <c r="U80" s="137"/>
    </row>
    <row r="81" spans="1:23" s="496" customFormat="1">
      <c r="A81" s="506"/>
      <c r="B81" s="137" t="s">
        <v>453</v>
      </c>
      <c r="C81" s="335"/>
      <c r="D81" s="137"/>
      <c r="F81" s="512">
        <v>1</v>
      </c>
      <c r="G81" s="137"/>
      <c r="H81" s="61">
        <f t="shared" si="1"/>
        <v>1</v>
      </c>
      <c r="I81" s="35">
        <v>1</v>
      </c>
      <c r="J81" s="462">
        <v>1</v>
      </c>
      <c r="R81" s="137"/>
      <c r="T81" s="137"/>
      <c r="U81" s="137"/>
    </row>
    <row r="82" spans="1:23" s="496" customFormat="1">
      <c r="A82" s="506"/>
      <c r="B82" s="137" t="s">
        <v>452</v>
      </c>
      <c r="C82" s="335"/>
      <c r="D82" s="137"/>
      <c r="F82" s="512">
        <v>1</v>
      </c>
      <c r="G82" s="137"/>
      <c r="H82" s="61">
        <f t="shared" si="1"/>
        <v>1</v>
      </c>
      <c r="I82" s="35">
        <v>1</v>
      </c>
      <c r="J82" s="462">
        <v>1</v>
      </c>
      <c r="R82" s="137"/>
      <c r="T82" s="137"/>
      <c r="U82" s="137"/>
    </row>
    <row r="83" spans="1:23" s="496" customFormat="1">
      <c r="A83" s="506"/>
      <c r="B83" s="137" t="s">
        <v>451</v>
      </c>
      <c r="C83" s="335"/>
      <c r="D83" s="137"/>
      <c r="F83" s="511">
        <f ca="1">D30</f>
        <v>0</v>
      </c>
      <c r="G83" s="137"/>
      <c r="H83" s="61">
        <f t="shared" si="1"/>
        <v>1</v>
      </c>
      <c r="I83" s="35">
        <v>1</v>
      </c>
      <c r="J83" s="462">
        <v>1</v>
      </c>
      <c r="R83" s="137"/>
      <c r="T83" s="137"/>
      <c r="U83" s="137"/>
    </row>
    <row r="84" spans="1:23" s="496" customFormat="1">
      <c r="A84" s="506"/>
      <c r="B84" s="62" t="s">
        <v>450</v>
      </c>
      <c r="C84" s="62"/>
      <c r="D84" s="62"/>
      <c r="F84" s="8">
        <f>'DCF - Summary'!J74+SUM('DCF - Summary'!K64:K65)</f>
        <v>1243.4000000000001</v>
      </c>
      <c r="H84" s="61">
        <f t="shared" si="1"/>
        <v>1</v>
      </c>
      <c r="I84" s="35">
        <v>1</v>
      </c>
      <c r="J84" s="462">
        <v>1</v>
      </c>
      <c r="R84" s="510"/>
      <c r="S84" s="137"/>
      <c r="T84" s="137"/>
    </row>
    <row r="85" spans="1:23" s="496" customFormat="1">
      <c r="A85" s="506"/>
      <c r="B85" s="62" t="s">
        <v>449</v>
      </c>
      <c r="C85" s="62"/>
      <c r="D85" s="62"/>
      <c r="F85" s="8">
        <f ca="1">IF(F81=1,F83,0)</f>
        <v>0</v>
      </c>
      <c r="H85" s="61">
        <f t="shared" si="1"/>
        <v>1</v>
      </c>
      <c r="I85" s="35">
        <v>1</v>
      </c>
      <c r="J85" s="462">
        <v>1</v>
      </c>
      <c r="R85" s="137"/>
      <c r="S85" s="137"/>
      <c r="T85" s="137"/>
      <c r="U85" s="137"/>
      <c r="V85" s="137"/>
      <c r="W85" s="137"/>
    </row>
    <row r="86" spans="1:23" s="496" customFormat="1">
      <c r="A86" s="506"/>
      <c r="B86" s="62" t="s">
        <v>552</v>
      </c>
      <c r="C86" s="62"/>
      <c r="D86" s="62"/>
      <c r="F86" s="8">
        <f ca="1">IF(F82=1,F84-F85,0)</f>
        <v>1243.4000000000001</v>
      </c>
      <c r="H86" s="61">
        <f t="shared" si="1"/>
        <v>1</v>
      </c>
      <c r="I86" s="35">
        <v>1</v>
      </c>
      <c r="J86" s="462">
        <v>1</v>
      </c>
      <c r="R86" s="137"/>
      <c r="S86" s="137"/>
      <c r="T86" s="137"/>
      <c r="U86" s="137"/>
      <c r="V86" s="137"/>
      <c r="W86" s="137"/>
    </row>
    <row r="87" spans="1:23" s="496" customFormat="1">
      <c r="A87" s="506"/>
      <c r="B87" s="335"/>
      <c r="C87" s="335"/>
      <c r="D87" s="137"/>
      <c r="E87" s="137"/>
      <c r="G87" s="137"/>
      <c r="H87" s="61">
        <f t="shared" si="1"/>
        <v>0</v>
      </c>
      <c r="I87" s="35">
        <v>0</v>
      </c>
      <c r="J87" s="462">
        <v>1</v>
      </c>
      <c r="R87" s="137"/>
      <c r="T87" s="137"/>
      <c r="U87" s="137"/>
    </row>
    <row r="88" spans="1:23" s="496" customFormat="1">
      <c r="A88" s="494"/>
      <c r="B88" s="473" t="s">
        <v>448</v>
      </c>
      <c r="C88" s="473"/>
      <c r="D88" s="472"/>
      <c r="E88" s="472"/>
      <c r="F88" s="472"/>
      <c r="H88" s="61">
        <f t="shared" si="1"/>
        <v>1</v>
      </c>
      <c r="I88" s="35">
        <v>1</v>
      </c>
      <c r="J88" s="462">
        <v>1</v>
      </c>
    </row>
    <row r="89" spans="1:23" s="496" customFormat="1" ht="13.8" thickBot="1">
      <c r="A89" s="506"/>
      <c r="B89" s="504" t="s">
        <v>548</v>
      </c>
      <c r="C89" s="504"/>
      <c r="D89" s="504"/>
      <c r="E89" s="503"/>
      <c r="F89" s="503"/>
      <c r="H89" s="61">
        <f t="shared" si="1"/>
        <v>1</v>
      </c>
      <c r="I89" s="35">
        <v>1</v>
      </c>
      <c r="J89" s="462">
        <v>1</v>
      </c>
    </row>
    <row r="90" spans="1:23" s="496" customFormat="1">
      <c r="B90" s="137" t="s">
        <v>447</v>
      </c>
      <c r="C90" s="137"/>
      <c r="D90" s="137"/>
      <c r="F90" s="8">
        <f>'DCF - Valuation'!J19</f>
        <v>0</v>
      </c>
      <c r="H90" s="61">
        <f t="shared" si="1"/>
        <v>1</v>
      </c>
      <c r="I90" s="35">
        <v>1</v>
      </c>
      <c r="J90" s="462">
        <v>1</v>
      </c>
    </row>
    <row r="91" spans="1:23" s="496" customFormat="1">
      <c r="B91" s="137" t="s">
        <v>544</v>
      </c>
      <c r="C91" s="137"/>
      <c r="D91" s="137"/>
      <c r="F91" s="680">
        <v>38.93</v>
      </c>
      <c r="H91" s="61">
        <f t="shared" si="1"/>
        <v>1</v>
      </c>
      <c r="I91" s="35">
        <v>1</v>
      </c>
      <c r="J91" s="462">
        <v>1</v>
      </c>
    </row>
    <row r="92" spans="1:23" s="496" customFormat="1">
      <c r="B92" s="137" t="s">
        <v>446</v>
      </c>
      <c r="C92" s="137"/>
      <c r="D92" s="137"/>
      <c r="F92" s="8">
        <f>F90*F91</f>
        <v>0</v>
      </c>
      <c r="H92" s="61">
        <f t="shared" si="1"/>
        <v>1</v>
      </c>
      <c r="I92" s="35">
        <v>1</v>
      </c>
      <c r="J92" s="462">
        <v>1</v>
      </c>
    </row>
    <row r="93" spans="1:23" s="496" customFormat="1">
      <c r="B93" s="137" t="s">
        <v>445</v>
      </c>
      <c r="C93" s="137"/>
      <c r="D93" s="137"/>
      <c r="F93" s="509">
        <f ca="1">D33</f>
        <v>0</v>
      </c>
      <c r="H93" s="61">
        <f t="shared" si="1"/>
        <v>1</v>
      </c>
      <c r="I93" s="35">
        <v>1</v>
      </c>
      <c r="J93" s="462">
        <v>1</v>
      </c>
    </row>
    <row r="94" spans="1:23" s="496" customFormat="1">
      <c r="B94" s="137" t="s">
        <v>444</v>
      </c>
      <c r="C94" s="137"/>
      <c r="D94" s="137"/>
      <c r="F94" s="508">
        <f ca="1">F91*(1+F93)</f>
        <v>38.93</v>
      </c>
      <c r="H94" s="61">
        <f t="shared" si="1"/>
        <v>1</v>
      </c>
      <c r="I94" s="35">
        <v>1</v>
      </c>
      <c r="J94" s="462">
        <v>1</v>
      </c>
    </row>
    <row r="95" spans="1:23" s="496" customFormat="1">
      <c r="B95" s="137" t="s">
        <v>443</v>
      </c>
      <c r="C95" s="137"/>
      <c r="D95" s="137"/>
      <c r="F95" s="8">
        <f ca="1">F92*F93</f>
        <v>0</v>
      </c>
      <c r="H95" s="61">
        <f t="shared" si="1"/>
        <v>1</v>
      </c>
      <c r="I95" s="35">
        <v>1</v>
      </c>
      <c r="J95" s="462">
        <v>1</v>
      </c>
    </row>
    <row r="96" spans="1:23" s="496" customFormat="1">
      <c r="B96" s="157" t="s">
        <v>442</v>
      </c>
      <c r="C96" s="157"/>
      <c r="D96" s="157"/>
      <c r="E96" s="157"/>
      <c r="F96" s="477">
        <f ca="1">F92+F95</f>
        <v>0</v>
      </c>
      <c r="H96" s="61">
        <f t="shared" si="1"/>
        <v>1</v>
      </c>
      <c r="I96" s="35">
        <v>1</v>
      </c>
      <c r="J96" s="462">
        <v>1</v>
      </c>
    </row>
    <row r="97" spans="2:10" s="496" customFormat="1">
      <c r="B97" s="33" t="s">
        <v>596</v>
      </c>
      <c r="C97" s="33"/>
      <c r="D97" s="33"/>
      <c r="E97" s="33"/>
      <c r="F97" s="32"/>
      <c r="H97" s="61">
        <f t="shared" si="1"/>
        <v>1</v>
      </c>
      <c r="I97" s="35">
        <v>1</v>
      </c>
      <c r="J97" s="462"/>
    </row>
    <row r="98" spans="2:10" s="496" customFormat="1" ht="13.8" thickBot="1">
      <c r="B98" s="504" t="s">
        <v>547</v>
      </c>
      <c r="C98" s="504"/>
      <c r="D98" s="504"/>
      <c r="E98" s="503"/>
      <c r="F98" s="503"/>
      <c r="H98" s="61">
        <f t="shared" si="1"/>
        <v>1</v>
      </c>
      <c r="I98" s="35">
        <v>1</v>
      </c>
      <c r="J98" s="462">
        <v>1</v>
      </c>
    </row>
    <row r="99" spans="2:10" s="496" customFormat="1">
      <c r="B99" s="33" t="str">
        <f>B66</f>
        <v>Debt Retired / Assumed</v>
      </c>
      <c r="C99" s="33"/>
      <c r="D99" s="33"/>
      <c r="E99" s="33"/>
      <c r="F99" s="32">
        <f>'DCF - Capital Structure'!K12</f>
        <v>1733.9</v>
      </c>
      <c r="H99" s="61">
        <f t="shared" si="1"/>
        <v>1</v>
      </c>
      <c r="I99" s="35">
        <v>1</v>
      </c>
      <c r="J99" s="462"/>
    </row>
    <row r="100" spans="2:10" s="496" customFormat="1">
      <c r="B100" s="33"/>
      <c r="C100" s="33"/>
      <c r="D100" s="33"/>
      <c r="E100" s="33"/>
      <c r="F100" s="32"/>
      <c r="H100" s="61">
        <f t="shared" si="1"/>
        <v>0</v>
      </c>
      <c r="I100" s="35">
        <v>0</v>
      </c>
      <c r="J100" s="462"/>
    </row>
    <row r="101" spans="2:10" s="496" customFormat="1">
      <c r="B101" s="33" t="s">
        <v>551</v>
      </c>
      <c r="C101" s="33"/>
      <c r="D101" s="33"/>
      <c r="E101" s="33"/>
      <c r="F101" s="32"/>
      <c r="H101" s="61">
        <f t="shared" si="1"/>
        <v>1</v>
      </c>
      <c r="I101" s="35">
        <v>1</v>
      </c>
      <c r="J101" s="462"/>
    </row>
    <row r="102" spans="2:10" s="506" customFormat="1">
      <c r="B102" s="33"/>
      <c r="C102" s="33"/>
      <c r="D102" s="33"/>
      <c r="E102" s="507"/>
      <c r="H102" s="61">
        <f t="shared" si="1"/>
        <v>0</v>
      </c>
      <c r="I102" s="35">
        <v>0</v>
      </c>
      <c r="J102" s="462">
        <v>1</v>
      </c>
    </row>
    <row r="103" spans="2:10" s="496" customFormat="1" ht="13.8" thickBot="1">
      <c r="B103" s="504" t="s">
        <v>427</v>
      </c>
      <c r="C103" s="503" t="s">
        <v>556</v>
      </c>
      <c r="D103" s="503" t="s">
        <v>557</v>
      </c>
      <c r="E103" s="503" t="s">
        <v>558</v>
      </c>
      <c r="F103" s="503" t="s">
        <v>440</v>
      </c>
      <c r="H103" s="61">
        <f t="shared" si="1"/>
        <v>1</v>
      </c>
      <c r="I103" s="35">
        <v>1</v>
      </c>
      <c r="J103" s="462">
        <v>1</v>
      </c>
    </row>
    <row r="104" spans="2:10" s="496" customFormat="1">
      <c r="B104" s="137" t="s">
        <v>554</v>
      </c>
      <c r="C104" s="17">
        <f ca="1">D28</f>
        <v>0</v>
      </c>
      <c r="D104" s="17">
        <f ca="1">IFERROR(F104/$F$109,0)</f>
        <v>0</v>
      </c>
      <c r="F104" s="27">
        <f ca="1">C104*F108</f>
        <v>0</v>
      </c>
      <c r="H104" s="61">
        <f t="shared" si="1"/>
        <v>1</v>
      </c>
      <c r="I104" s="35">
        <v>1</v>
      </c>
      <c r="J104" s="462">
        <v>1</v>
      </c>
    </row>
    <row r="105" spans="2:10" s="496" customFormat="1">
      <c r="B105" s="137" t="s">
        <v>555</v>
      </c>
      <c r="C105" s="17">
        <f ca="1">D29</f>
        <v>0</v>
      </c>
      <c r="D105" s="692"/>
      <c r="E105" s="695">
        <f ca="1">F105/F110</f>
        <v>0</v>
      </c>
      <c r="F105" s="27">
        <f ca="1">C105*F108</f>
        <v>0</v>
      </c>
      <c r="H105" s="61">
        <f t="shared" si="1"/>
        <v>1</v>
      </c>
      <c r="I105" s="35">
        <v>1</v>
      </c>
      <c r="J105" s="462">
        <v>1</v>
      </c>
    </row>
    <row r="106" spans="2:10" s="496" customFormat="1">
      <c r="B106" s="157" t="s">
        <v>439</v>
      </c>
      <c r="C106" s="691">
        <f ca="1">SUM(C104:C105)</f>
        <v>0</v>
      </c>
      <c r="F106" s="477">
        <f ca="1">SUM(F104:F105)</f>
        <v>0</v>
      </c>
      <c r="H106" s="61">
        <f t="shared" si="1"/>
        <v>1</v>
      </c>
      <c r="I106" s="35">
        <v>1</v>
      </c>
      <c r="J106" s="462">
        <v>1</v>
      </c>
    </row>
    <row r="107" spans="2:10" s="496" customFormat="1">
      <c r="B107" s="137" t="s">
        <v>545</v>
      </c>
      <c r="C107" s="17">
        <f ca="1">1-SUM(C104:C105)</f>
        <v>1</v>
      </c>
      <c r="F107" s="27">
        <f ca="1">SUM(F96,F99)</f>
        <v>1733.9</v>
      </c>
      <c r="H107" s="61">
        <f t="shared" si="1"/>
        <v>1</v>
      </c>
      <c r="I107" s="35">
        <v>1</v>
      </c>
      <c r="J107" s="462"/>
    </row>
    <row r="108" spans="2:10" s="496" customFormat="1">
      <c r="B108" s="137" t="s">
        <v>546</v>
      </c>
      <c r="C108" s="17">
        <f ca="1">SUM(C106:C107)</f>
        <v>1</v>
      </c>
      <c r="F108" s="27">
        <f ca="1">F107/C107</f>
        <v>1733.9</v>
      </c>
      <c r="H108" s="61">
        <f t="shared" si="1"/>
        <v>1</v>
      </c>
      <c r="I108" s="35">
        <v>1</v>
      </c>
      <c r="J108" s="462"/>
    </row>
    <row r="109" spans="2:10" s="496" customFormat="1">
      <c r="B109" s="268" t="s">
        <v>550</v>
      </c>
      <c r="C109" s="268"/>
      <c r="D109" s="693"/>
      <c r="E109" s="694"/>
      <c r="F109" s="467">
        <f ca="1">E53</f>
        <v>0</v>
      </c>
      <c r="H109" s="61">
        <f t="shared" si="1"/>
        <v>1</v>
      </c>
      <c r="I109" s="35">
        <v>1</v>
      </c>
      <c r="J109" s="462"/>
    </row>
    <row r="110" spans="2:10" s="496" customFormat="1">
      <c r="B110" s="137" t="s">
        <v>549</v>
      </c>
      <c r="C110" s="137"/>
      <c r="D110" s="505"/>
      <c r="E110" s="17"/>
      <c r="F110" s="27">
        <f ca="1">E55</f>
        <v>490.5</v>
      </c>
      <c r="H110" s="61">
        <f t="shared" si="1"/>
        <v>1</v>
      </c>
      <c r="I110" s="35">
        <v>1</v>
      </c>
      <c r="J110" s="462"/>
    </row>
    <row r="111" spans="2:10" s="496" customFormat="1">
      <c r="B111" s="137"/>
      <c r="C111" s="137"/>
      <c r="D111" s="137"/>
      <c r="E111" s="137"/>
      <c r="F111" s="137"/>
      <c r="H111" s="61">
        <f t="shared" si="1"/>
        <v>0</v>
      </c>
      <c r="I111" s="35">
        <v>0</v>
      </c>
      <c r="J111" s="462">
        <v>1</v>
      </c>
    </row>
    <row r="112" spans="2:10" s="496" customFormat="1" ht="13.8" thickBot="1">
      <c r="B112" s="504" t="s">
        <v>438</v>
      </c>
      <c r="C112" s="504"/>
      <c r="D112" s="504"/>
      <c r="E112" s="504"/>
      <c r="F112" s="503"/>
      <c r="H112" s="61">
        <f t="shared" si="1"/>
        <v>1</v>
      </c>
      <c r="I112" s="35">
        <v>1</v>
      </c>
      <c r="J112" s="462">
        <v>1</v>
      </c>
    </row>
    <row r="113" spans="1:10" s="496" customFormat="1">
      <c r="B113" s="137" t="s">
        <v>603</v>
      </c>
      <c r="C113" s="137"/>
      <c r="D113" s="137"/>
      <c r="E113" s="137"/>
      <c r="F113" s="502">
        <v>2019</v>
      </c>
      <c r="H113" s="61">
        <f t="shared" si="1"/>
        <v>1</v>
      </c>
      <c r="I113" s="35">
        <v>1</v>
      </c>
      <c r="J113" s="462">
        <v>1</v>
      </c>
    </row>
    <row r="114" spans="1:10" s="496" customFormat="1">
      <c r="B114" s="137" t="s">
        <v>604</v>
      </c>
      <c r="C114" s="137"/>
      <c r="D114" s="137"/>
      <c r="E114" s="137"/>
      <c r="F114" s="502">
        <v>2025</v>
      </c>
      <c r="H114" s="61">
        <f t="shared" si="1"/>
        <v>1</v>
      </c>
      <c r="I114" s="35">
        <v>1</v>
      </c>
      <c r="J114" s="462">
        <v>1</v>
      </c>
    </row>
    <row r="115" spans="1:10" s="496" customFormat="1">
      <c r="B115" s="137" t="s">
        <v>436</v>
      </c>
      <c r="C115" s="137"/>
      <c r="D115" s="137"/>
      <c r="E115" s="137"/>
      <c r="F115" s="501">
        <f ca="1">D34</f>
        <v>0</v>
      </c>
      <c r="H115" s="61">
        <f t="shared" si="1"/>
        <v>1</v>
      </c>
      <c r="I115" s="35">
        <v>1</v>
      </c>
      <c r="J115" s="462">
        <v>1</v>
      </c>
    </row>
    <row r="116" spans="1:10" s="496" customFormat="1">
      <c r="B116" s="137" t="s">
        <v>435</v>
      </c>
      <c r="C116" s="137"/>
      <c r="D116" s="137"/>
      <c r="E116" s="137"/>
      <c r="F116" s="137">
        <f>F114-F113</f>
        <v>6</v>
      </c>
      <c r="H116" s="61">
        <f t="shared" si="1"/>
        <v>1</v>
      </c>
      <c r="I116" s="35">
        <v>1</v>
      </c>
      <c r="J116" s="462">
        <v>1</v>
      </c>
    </row>
    <row r="117" spans="1:10" s="334" customFormat="1">
      <c r="A117" s="390"/>
      <c r="B117" s="500" t="s">
        <v>434</v>
      </c>
      <c r="C117" s="500"/>
      <c r="D117" s="500"/>
      <c r="E117" s="500"/>
      <c r="F117" s="499">
        <f>'LBO - Financials'!E39</f>
        <v>0</v>
      </c>
      <c r="H117" s="61">
        <f t="shared" si="1"/>
        <v>1</v>
      </c>
      <c r="I117" s="35">
        <v>1</v>
      </c>
      <c r="J117" s="462">
        <v>1</v>
      </c>
    </row>
    <row r="118" spans="1:10" s="496" customFormat="1" ht="14.4">
      <c r="H118"/>
      <c r="I118"/>
    </row>
    <row r="119" spans="1:10" ht="14.4" hidden="1">
      <c r="H119"/>
      <c r="I119"/>
    </row>
    <row r="120" spans="1:10" ht="14.4" hidden="1">
      <c r="H120"/>
      <c r="I120"/>
    </row>
    <row r="121" spans="1:10" ht="14.4" hidden="1">
      <c r="H121"/>
      <c r="I121"/>
    </row>
    <row r="122" spans="1:10" ht="14.4" hidden="1">
      <c r="H122"/>
      <c r="I122"/>
    </row>
    <row r="123" spans="1:10" ht="14.4" hidden="1">
      <c r="H123"/>
      <c r="I123"/>
    </row>
    <row r="124" spans="1:10" ht="14.4" hidden="1">
      <c r="H124"/>
      <c r="I124"/>
    </row>
    <row r="125" spans="1:10" ht="14.4" hidden="1">
      <c r="H125"/>
      <c r="I125"/>
    </row>
    <row r="126" spans="1:10" ht="14.4" hidden="1">
      <c r="H126"/>
      <c r="I126"/>
    </row>
    <row r="127" spans="1:10" ht="14.4" hidden="1">
      <c r="H127"/>
      <c r="I127"/>
    </row>
    <row r="128" spans="1:10" ht="14.4" hidden="1">
      <c r="H128"/>
      <c r="I128"/>
    </row>
    <row r="129" spans="8:9" ht="14.4" hidden="1">
      <c r="H129"/>
      <c r="I129"/>
    </row>
    <row r="130" spans="8:9" ht="14.4" hidden="1">
      <c r="H130"/>
      <c r="I130"/>
    </row>
    <row r="131" spans="8:9" ht="14.4" hidden="1">
      <c r="H131"/>
      <c r="I131"/>
    </row>
    <row r="132" spans="8:9" ht="14.4" hidden="1">
      <c r="H132"/>
      <c r="I132"/>
    </row>
    <row r="133" spans="8:9" ht="14.4" hidden="1">
      <c r="H133"/>
      <c r="I133"/>
    </row>
    <row r="134" spans="8:9" ht="14.4" hidden="1">
      <c r="H134"/>
      <c r="I134"/>
    </row>
    <row r="135" spans="8:9" ht="14.4" hidden="1">
      <c r="H135"/>
      <c r="I135"/>
    </row>
    <row r="136" spans="8:9" ht="14.4" hidden="1">
      <c r="H136"/>
      <c r="I136"/>
    </row>
    <row r="137" spans="8:9" ht="14.4" hidden="1">
      <c r="H137"/>
      <c r="I137"/>
    </row>
    <row r="138" spans="8:9" ht="14.4" hidden="1">
      <c r="H138"/>
      <c r="I138"/>
    </row>
    <row r="139" spans="8:9" hidden="1">
      <c r="H139" s="61">
        <f t="shared" ref="H139" si="2">IF(NOT(ISBLANK(#REF!)), 1, 0)</f>
        <v>1</v>
      </c>
      <c r="I139" s="35">
        <v>0</v>
      </c>
    </row>
    <row r="140" spans="8:9" hidden="1">
      <c r="H140" s="61">
        <f t="shared" ref="H140" si="3">IF(NOT(ISBLANK(#REF!)), 1, 0)</f>
        <v>1</v>
      </c>
      <c r="I140" s="35">
        <v>1</v>
      </c>
    </row>
    <row r="141" spans="8:9" hidden="1">
      <c r="H141" s="61">
        <f t="shared" ref="H141" si="4">IF(NOT(ISBLANK(#REF!)), 1, 0)</f>
        <v>1</v>
      </c>
      <c r="I141" s="35">
        <v>0</v>
      </c>
    </row>
    <row r="142" spans="8:9" hidden="1">
      <c r="H142" s="61">
        <f t="shared" ref="H142" si="5">IF(NOT(ISBLANK(#REF!)), 1, 0)</f>
        <v>1</v>
      </c>
      <c r="I142" s="35">
        <v>1</v>
      </c>
    </row>
    <row r="143" spans="8:9" hidden="1">
      <c r="H143" s="61">
        <f t="shared" ref="H143" si="6">IF(NOT(ISBLANK(#REF!)), 1, 0)</f>
        <v>1</v>
      </c>
      <c r="I143" s="35">
        <v>0</v>
      </c>
    </row>
    <row r="144" spans="8:9" hidden="1">
      <c r="H144" s="61">
        <f t="shared" ref="H144" si="7">IF(NOT(ISBLANK(#REF!)), 1, 0)</f>
        <v>1</v>
      </c>
      <c r="I144" s="35">
        <v>0</v>
      </c>
    </row>
    <row r="145" spans="8:9" hidden="1">
      <c r="H145" s="61">
        <f t="shared" ref="H145" si="8">IF(NOT(ISBLANK(#REF!)), 1, 0)</f>
        <v>1</v>
      </c>
      <c r="I145" s="35">
        <v>0</v>
      </c>
    </row>
    <row r="146" spans="8:9" hidden="1">
      <c r="H146" s="61">
        <f t="shared" ref="H146" si="9">IF(NOT(ISBLANK(#REF!)), 1, 0)</f>
        <v>1</v>
      </c>
      <c r="I146" s="35">
        <v>0</v>
      </c>
    </row>
    <row r="147" spans="8:9" hidden="1">
      <c r="H147" s="61">
        <f t="shared" ref="H147" si="10">IF(NOT(ISBLANK(#REF!)), 1, 0)</f>
        <v>1</v>
      </c>
      <c r="I147" s="35">
        <v>1</v>
      </c>
    </row>
    <row r="148" spans="8:9" hidden="1">
      <c r="H148" s="61">
        <f t="shared" ref="H148" si="11">IF(NOT(ISBLANK(#REF!)), 1, 0)</f>
        <v>1</v>
      </c>
      <c r="I148" s="35">
        <v>0</v>
      </c>
    </row>
    <row r="149" spans="8:9" hidden="1">
      <c r="H149" s="61">
        <f t="shared" ref="H149" si="12">IF(NOT(ISBLANK(#REF!)), 1, 0)</f>
        <v>1</v>
      </c>
      <c r="I149" s="35">
        <v>0</v>
      </c>
    </row>
    <row r="150" spans="8:9" hidden="1">
      <c r="H150" s="61">
        <f t="shared" ref="H150" si="13">IF(NOT(ISBLANK(#REF!)), 1, 0)</f>
        <v>1</v>
      </c>
      <c r="I150" s="35">
        <v>0</v>
      </c>
    </row>
    <row r="151" spans="8:9" hidden="1">
      <c r="H151" s="61">
        <f t="shared" ref="H151" si="14">IF(NOT(ISBLANK(#REF!)), 1, 0)</f>
        <v>1</v>
      </c>
      <c r="I151" s="35">
        <v>0</v>
      </c>
    </row>
    <row r="152" spans="8:9" hidden="1">
      <c r="H152" s="61">
        <f t="shared" ref="H152" si="15">IF(NOT(ISBLANK(#REF!)), 1, 0)</f>
        <v>1</v>
      </c>
      <c r="I152" s="35">
        <v>1</v>
      </c>
    </row>
    <row r="153" spans="8:9" hidden="1">
      <c r="H153" s="61">
        <f t="shared" ref="H153" si="16">IF(NOT(ISBLANK(#REF!)), 1, 0)</f>
        <v>1</v>
      </c>
      <c r="I153" s="35">
        <v>0</v>
      </c>
    </row>
    <row r="154" spans="8:9" hidden="1">
      <c r="H154" s="61">
        <f t="shared" ref="H154" si="17">IF(NOT(ISBLANK(#REF!)), 1, 0)</f>
        <v>1</v>
      </c>
      <c r="I154" s="35">
        <v>1</v>
      </c>
    </row>
    <row r="155" spans="8:9" hidden="1">
      <c r="H155" s="61">
        <f t="shared" ref="H155" si="18">IF(NOT(ISBLANK(#REF!)), 1, 0)</f>
        <v>1</v>
      </c>
      <c r="I155" s="35">
        <v>0</v>
      </c>
    </row>
    <row r="156" spans="8:9" hidden="1">
      <c r="H156" s="61">
        <f t="shared" ref="H156" si="19">IF(NOT(ISBLANK(#REF!)), 1, 0)</f>
        <v>1</v>
      </c>
      <c r="I156" s="35">
        <v>1</v>
      </c>
    </row>
    <row r="157" spans="8:9" hidden="1">
      <c r="H157" s="61">
        <f t="shared" ref="H157" si="20">IF(NOT(ISBLANK(#REF!)), 1, 0)</f>
        <v>1</v>
      </c>
      <c r="I157" s="35">
        <v>0</v>
      </c>
    </row>
    <row r="158" spans="8:9" hidden="1">
      <c r="H158" s="61">
        <f t="shared" ref="H158" si="21">IF(NOT(ISBLANK(#REF!)), 1, 0)</f>
        <v>1</v>
      </c>
      <c r="I158" s="35">
        <v>1</v>
      </c>
    </row>
    <row r="159" spans="8:9" hidden="1">
      <c r="H159" s="61">
        <f t="shared" ref="H159" si="22">IF(NOT(ISBLANK(#REF!)), 1, 0)</f>
        <v>1</v>
      </c>
      <c r="I159" s="35">
        <v>1</v>
      </c>
    </row>
    <row r="160" spans="8:9" hidden="1">
      <c r="H160" s="61">
        <f t="shared" ref="H160" si="23">IF(NOT(ISBLANK(#REF!)), 1, 0)</f>
        <v>1</v>
      </c>
      <c r="I160" s="35">
        <v>1</v>
      </c>
    </row>
    <row r="161" spans="8:9" hidden="1">
      <c r="H161" s="61">
        <f t="shared" ref="H161" si="24">IF(NOT(ISBLANK(#REF!)), 1, 0)</f>
        <v>1</v>
      </c>
      <c r="I161" s="35">
        <v>1</v>
      </c>
    </row>
    <row r="162" spans="8:9" hidden="1">
      <c r="H162" s="61">
        <f t="shared" ref="H162" si="25">IF(NOT(ISBLANK(#REF!)), 1, 0)</f>
        <v>1</v>
      </c>
      <c r="I162" s="35">
        <v>1</v>
      </c>
    </row>
    <row r="163" spans="8:9" hidden="1">
      <c r="H163" s="61">
        <f t="shared" ref="H163" si="26">IF(NOT(ISBLANK(#REF!)), 1, 0)</f>
        <v>1</v>
      </c>
      <c r="I163" s="35">
        <v>1</v>
      </c>
    </row>
    <row r="164" spans="8:9" hidden="1">
      <c r="H164" s="61">
        <f t="shared" ref="H164" si="27">IF(NOT(ISBLANK(#REF!)), 1, 0)</f>
        <v>1</v>
      </c>
      <c r="I164" s="35">
        <v>0</v>
      </c>
    </row>
    <row r="165" spans="8:9" hidden="1">
      <c r="H165" s="61">
        <f t="shared" ref="H165" si="28">IF(NOT(ISBLANK(#REF!)), 1, 0)</f>
        <v>1</v>
      </c>
      <c r="I165" s="35">
        <v>0</v>
      </c>
    </row>
    <row r="166" spans="8:9" hidden="1">
      <c r="H166" s="61">
        <f t="shared" ref="H166" si="29">IF(NOT(ISBLANK(#REF!)), 1, 0)</f>
        <v>1</v>
      </c>
      <c r="I166" s="35">
        <v>1</v>
      </c>
    </row>
  </sheetData>
  <conditionalFormatting sqref="H1:I1">
    <cfRule type="cellIs" dxfId="16" priority="1" operator="equal">
      <formula>"Check"</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6F55C-C6CD-4D92-8A1B-C0E527A43B41}">
  <sheetPr codeName="Sheet18">
    <tabColor theme="3" tint="-0.499984740745262"/>
  </sheetPr>
  <dimension ref="A1:CS361"/>
  <sheetViews>
    <sheetView showGridLines="0" zoomScaleNormal="100" workbookViewId="0">
      <pane ySplit="4" topLeftCell="A40" activePane="bottomLeft" state="frozen"/>
      <selection activeCell="N19" sqref="N19"/>
      <selection pane="bottomLeft" activeCell="N19" sqref="N19"/>
    </sheetView>
  </sheetViews>
  <sheetFormatPr defaultColWidth="0" defaultRowHeight="13.2" zeroHeight="1"/>
  <cols>
    <col min="1" max="1" width="4.109375" style="495" customWidth="1"/>
    <col min="2" max="2" width="32.33203125" style="495" customWidth="1"/>
    <col min="3" max="3" width="8.6640625" style="548" customWidth="1"/>
    <col min="4" max="4" width="8.6640625" style="495" customWidth="1"/>
    <col min="5" max="5" width="13.44140625" style="495" customWidth="1"/>
    <col min="6" max="12" width="8" style="495" customWidth="1"/>
    <col min="13" max="13" width="5.44140625" style="495" customWidth="1"/>
    <col min="14" max="14" width="3.88671875" style="495" customWidth="1"/>
    <col min="15" max="15" width="4.33203125" style="495" customWidth="1"/>
    <col min="16" max="16" width="3.109375" style="495" customWidth="1"/>
    <col min="17" max="21" width="8.6640625" style="495" hidden="1" customWidth="1"/>
    <col min="22" max="22" width="11.6640625" style="495" hidden="1" customWidth="1"/>
    <col min="23" max="97" width="0" style="495" hidden="1" customWidth="1"/>
    <col min="98" max="16384" width="8.6640625" style="495" hidden="1"/>
  </cols>
  <sheetData>
    <row r="1" spans="1:97" s="45" customFormat="1">
      <c r="A1" s="49" t="str">
        <f>'DCF - Assumptions'!$E$8&amp;" | LBO Model - Financial Model"</f>
        <v>Tapestry | LBO Model - Financial Model</v>
      </c>
      <c r="B1" s="498"/>
      <c r="C1" s="618"/>
      <c r="D1" s="497"/>
      <c r="E1" s="497"/>
      <c r="F1" s="497"/>
      <c r="G1" s="497"/>
      <c r="H1" s="497"/>
      <c r="I1" s="497"/>
      <c r="J1" s="497"/>
      <c r="K1" s="497"/>
      <c r="L1" s="497"/>
      <c r="M1" s="497"/>
      <c r="N1" s="46" t="str">
        <f>IF(N5=O5,"OK","Check")</f>
        <v>OK</v>
      </c>
      <c r="O1" s="46" t="str">
        <f>IF(N6=O6,"OK","Check")</f>
        <v>OK</v>
      </c>
      <c r="P1" s="497"/>
    </row>
    <row r="2" spans="1:97" s="24" customFormat="1" ht="1.95" customHeight="1">
      <c r="A2" s="242"/>
      <c r="B2" s="4"/>
      <c r="C2" s="169"/>
      <c r="D2" s="4"/>
      <c r="E2" s="4"/>
      <c r="F2" s="4"/>
      <c r="G2" s="4"/>
      <c r="H2" s="4"/>
      <c r="I2" s="4"/>
      <c r="J2" s="4"/>
      <c r="K2" s="4"/>
      <c r="L2" s="4"/>
      <c r="M2" s="4"/>
      <c r="N2" s="41"/>
      <c r="O2" s="41"/>
      <c r="P2" s="4"/>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row>
    <row r="3" spans="1:97" s="176" customFormat="1" ht="3" customHeight="1">
      <c r="A3" s="40"/>
      <c r="B3" s="39"/>
      <c r="C3" s="617"/>
      <c r="D3" s="39"/>
      <c r="E3" s="39"/>
      <c r="F3" s="39"/>
      <c r="G3" s="39"/>
      <c r="H3" s="39"/>
      <c r="I3" s="39"/>
      <c r="J3" s="39"/>
      <c r="K3" s="39"/>
      <c r="L3" s="39"/>
      <c r="M3" s="39"/>
      <c r="N3" s="37"/>
      <c r="O3" s="37"/>
      <c r="P3" s="39"/>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row>
    <row r="4" spans="1:97" s="58" customFormat="1" ht="11.25" customHeight="1">
      <c r="A4" s="279"/>
      <c r="B4" s="62"/>
      <c r="C4" s="230"/>
      <c r="D4" s="62"/>
      <c r="E4" s="62"/>
      <c r="F4" s="62"/>
      <c r="G4" s="62"/>
      <c r="H4" s="62"/>
      <c r="I4" s="62"/>
      <c r="J4" s="62"/>
      <c r="K4" s="62"/>
      <c r="L4" s="62"/>
      <c r="M4" s="62"/>
      <c r="N4" s="4"/>
      <c r="O4" s="4"/>
      <c r="P4" s="495"/>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row>
    <row r="5" spans="1:97" s="58" customFormat="1" ht="11.25" customHeight="1">
      <c r="A5" s="279"/>
      <c r="B5" s="62"/>
      <c r="C5" s="230"/>
      <c r="D5" s="62"/>
      <c r="E5" s="62"/>
      <c r="F5" s="62"/>
      <c r="G5" s="62"/>
      <c r="H5" s="62"/>
      <c r="I5" s="62"/>
      <c r="J5" s="62"/>
      <c r="K5" s="62"/>
      <c r="L5" s="62"/>
      <c r="M5" s="62"/>
      <c r="N5" s="61">
        <f>ROWS(B6:B167)</f>
        <v>162</v>
      </c>
      <c r="O5" s="35">
        <v>162</v>
      </c>
      <c r="P5" s="175"/>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row>
    <row r="6" spans="1:97" s="267" customFormat="1" ht="12.45" customHeight="1">
      <c r="B6" s="762" t="s">
        <v>522</v>
      </c>
      <c r="C6" s="762"/>
      <c r="D6" s="763"/>
      <c r="E6" s="763"/>
      <c r="F6" s="763"/>
      <c r="G6" s="762"/>
      <c r="H6" s="762"/>
      <c r="I6" s="763"/>
      <c r="J6" s="763"/>
      <c r="K6" s="763"/>
      <c r="L6" s="763"/>
      <c r="N6" s="61">
        <f>SUM(N7:N167)</f>
        <v>121</v>
      </c>
      <c r="O6" s="35">
        <v>121</v>
      </c>
    </row>
    <row r="7" spans="1:97" s="58" customFormat="1" ht="11.25" customHeight="1">
      <c r="A7" s="279"/>
      <c r="B7" s="591"/>
      <c r="C7" s="230"/>
      <c r="D7" s="62"/>
      <c r="E7" s="62"/>
      <c r="F7" s="54"/>
      <c r="G7" s="471" t="s">
        <v>415</v>
      </c>
      <c r="H7" s="471"/>
      <c r="I7" s="471"/>
      <c r="J7" s="471"/>
      <c r="K7" s="471"/>
      <c r="L7" s="471"/>
      <c r="M7" s="62"/>
      <c r="N7" s="61">
        <f>IF(NOT(ISBLANK(B7)), 1, 0)</f>
        <v>0</v>
      </c>
      <c r="O7" s="35">
        <v>0</v>
      </c>
      <c r="P7" s="492"/>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row>
    <row r="8" spans="1:97" ht="13.8" thickBot="1">
      <c r="A8" s="24"/>
      <c r="B8" s="470" t="s">
        <v>562</v>
      </c>
      <c r="C8" s="559"/>
      <c r="D8" s="470"/>
      <c r="E8" s="470"/>
      <c r="F8" s="470">
        <f>F94</f>
        <v>2019</v>
      </c>
      <c r="G8" s="470">
        <f>G94</f>
        <v>2020</v>
      </c>
      <c r="H8" s="470">
        <f>H94</f>
        <v>2021</v>
      </c>
      <c r="I8" s="470">
        <f>I94</f>
        <v>2022</v>
      </c>
      <c r="J8" s="470">
        <f>J94</f>
        <v>2023</v>
      </c>
      <c r="K8" s="470">
        <f t="shared" ref="K8:L8" si="0">K94</f>
        <v>2024</v>
      </c>
      <c r="L8" s="470">
        <f t="shared" si="0"/>
        <v>2025</v>
      </c>
      <c r="N8" s="61">
        <f t="shared" ref="N8:N71" si="1">IF(NOT(ISBLANK(B8)), 1, 0)</f>
        <v>1</v>
      </c>
      <c r="O8" s="35">
        <v>1</v>
      </c>
    </row>
    <row r="9" spans="1:97">
      <c r="A9" s="24"/>
      <c r="B9" s="700" t="str">
        <f>B71</f>
        <v>Standalone Revenues</v>
      </c>
      <c r="C9" s="697"/>
      <c r="D9" s="591"/>
      <c r="E9" s="591"/>
      <c r="F9" s="591"/>
      <c r="G9" s="280">
        <f t="shared" ref="G9:L9" si="2">G71</f>
        <v>0</v>
      </c>
      <c r="H9" s="280">
        <f t="shared" si="2"/>
        <v>0</v>
      </c>
      <c r="I9" s="280">
        <f t="shared" si="2"/>
        <v>0</v>
      </c>
      <c r="J9" s="280">
        <f t="shared" si="2"/>
        <v>0</v>
      </c>
      <c r="K9" s="280">
        <f t="shared" si="2"/>
        <v>0</v>
      </c>
      <c r="L9" s="280">
        <f t="shared" si="2"/>
        <v>0</v>
      </c>
      <c r="N9" s="61">
        <f t="shared" si="1"/>
        <v>1</v>
      </c>
      <c r="O9" s="35">
        <v>1</v>
      </c>
    </row>
    <row r="10" spans="1:97">
      <c r="A10" s="24"/>
      <c r="B10" s="700" t="str">
        <f>B72</f>
        <v>Incremental Revenue Synergies</v>
      </c>
      <c r="C10" s="697"/>
      <c r="D10" s="591"/>
      <c r="E10" s="591"/>
      <c r="F10" s="591"/>
      <c r="G10" s="280">
        <f t="shared" ref="G10:L10" ca="1" si="3">G72</f>
        <v>0</v>
      </c>
      <c r="H10" s="280">
        <f t="shared" ca="1" si="3"/>
        <v>0</v>
      </c>
      <c r="I10" s="280">
        <f t="shared" ca="1" si="3"/>
        <v>0</v>
      </c>
      <c r="J10" s="280">
        <f t="shared" ca="1" si="3"/>
        <v>0</v>
      </c>
      <c r="K10" s="280">
        <f t="shared" ca="1" si="3"/>
        <v>0</v>
      </c>
      <c r="L10" s="280">
        <f t="shared" ca="1" si="3"/>
        <v>0</v>
      </c>
      <c r="N10" s="61">
        <f t="shared" si="1"/>
        <v>1</v>
      </c>
      <c r="O10" s="35">
        <v>1</v>
      </c>
    </row>
    <row r="11" spans="1:97">
      <c r="A11" s="24"/>
      <c r="B11" s="702" t="str">
        <f>B73</f>
        <v>Proforma Revenue Forecast</v>
      </c>
      <c r="C11" s="701"/>
      <c r="D11" s="702"/>
      <c r="E11" s="702"/>
      <c r="F11" s="702"/>
      <c r="G11" s="314">
        <f t="shared" ref="G11:L11" ca="1" si="4">G73</f>
        <v>0</v>
      </c>
      <c r="H11" s="314">
        <f t="shared" ca="1" si="4"/>
        <v>0</v>
      </c>
      <c r="I11" s="314">
        <f t="shared" ca="1" si="4"/>
        <v>0</v>
      </c>
      <c r="J11" s="314">
        <f t="shared" ca="1" si="4"/>
        <v>0</v>
      </c>
      <c r="K11" s="314">
        <f t="shared" ca="1" si="4"/>
        <v>0</v>
      </c>
      <c r="L11" s="314">
        <f t="shared" ca="1" si="4"/>
        <v>0</v>
      </c>
      <c r="N11" s="61">
        <f t="shared" si="1"/>
        <v>1</v>
      </c>
      <c r="O11" s="35">
        <v>1</v>
      </c>
    </row>
    <row r="12" spans="1:97" ht="4.95" customHeight="1">
      <c r="A12" s="24"/>
      <c r="B12" s="700"/>
      <c r="C12" s="697"/>
      <c r="D12" s="591"/>
      <c r="E12" s="591"/>
      <c r="F12" s="591"/>
      <c r="G12" s="591"/>
      <c r="H12" s="591"/>
      <c r="I12" s="591"/>
      <c r="J12" s="591"/>
      <c r="K12" s="591"/>
      <c r="L12" s="591"/>
      <c r="N12" s="61">
        <f t="shared" si="1"/>
        <v>0</v>
      </c>
      <c r="O12" s="35">
        <v>0</v>
      </c>
    </row>
    <row r="13" spans="1:97" s="267" customFormat="1" ht="11.25" customHeight="1">
      <c r="B13" s="267" t="str">
        <f>B85</f>
        <v>Standalone EBITDA</v>
      </c>
      <c r="C13" s="553"/>
      <c r="E13" s="281"/>
      <c r="F13" s="280"/>
      <c r="G13" s="280">
        <f t="shared" ref="G13:L13" si="5">G85</f>
        <v>0</v>
      </c>
      <c r="H13" s="280">
        <f t="shared" si="5"/>
        <v>0</v>
      </c>
      <c r="I13" s="280">
        <f t="shared" si="5"/>
        <v>0</v>
      </c>
      <c r="J13" s="280">
        <f t="shared" si="5"/>
        <v>0</v>
      </c>
      <c r="K13" s="280">
        <f t="shared" si="5"/>
        <v>0</v>
      </c>
      <c r="L13" s="280">
        <f t="shared" si="5"/>
        <v>0</v>
      </c>
      <c r="N13" s="61">
        <f t="shared" si="1"/>
        <v>1</v>
      </c>
      <c r="O13" s="35">
        <v>1</v>
      </c>
    </row>
    <row r="14" spans="1:97" s="267" customFormat="1" ht="11.25" customHeight="1">
      <c r="B14" s="267" t="str">
        <f>B86</f>
        <v>Revenue Synergies EBITDA Contribution</v>
      </c>
      <c r="C14" s="553"/>
      <c r="E14" s="281"/>
      <c r="F14" s="280"/>
      <c r="G14" s="280">
        <f t="shared" ref="G14:L14" ca="1" si="6">G86</f>
        <v>0</v>
      </c>
      <c r="H14" s="280">
        <f t="shared" ca="1" si="6"/>
        <v>0</v>
      </c>
      <c r="I14" s="280">
        <f t="shared" ca="1" si="6"/>
        <v>0</v>
      </c>
      <c r="J14" s="280">
        <f t="shared" ca="1" si="6"/>
        <v>0</v>
      </c>
      <c r="K14" s="280">
        <f t="shared" ca="1" si="6"/>
        <v>0</v>
      </c>
      <c r="L14" s="280">
        <f t="shared" ca="1" si="6"/>
        <v>0</v>
      </c>
      <c r="N14" s="61">
        <f t="shared" si="1"/>
        <v>1</v>
      </c>
      <c r="O14" s="35">
        <v>1</v>
      </c>
    </row>
    <row r="15" spans="1:97" s="267" customFormat="1" ht="11.25" customHeight="1">
      <c r="B15" s="267" t="str">
        <f t="shared" ref="B15:L15" si="7">B87</f>
        <v>Margin Improvement EBITDA Contribution</v>
      </c>
      <c r="C15" s="553"/>
      <c r="E15" s="281"/>
      <c r="F15" s="280"/>
      <c r="G15" s="280">
        <f t="shared" ca="1" si="7"/>
        <v>0</v>
      </c>
      <c r="H15" s="280">
        <f t="shared" ca="1" si="7"/>
        <v>0</v>
      </c>
      <c r="I15" s="280">
        <f t="shared" ca="1" si="7"/>
        <v>0</v>
      </c>
      <c r="J15" s="280">
        <f t="shared" ca="1" si="7"/>
        <v>0</v>
      </c>
      <c r="K15" s="280">
        <f t="shared" ca="1" si="7"/>
        <v>0</v>
      </c>
      <c r="L15" s="280">
        <f t="shared" ca="1" si="7"/>
        <v>0</v>
      </c>
      <c r="N15" s="61">
        <f t="shared" si="1"/>
        <v>1</v>
      </c>
      <c r="O15" s="35">
        <v>1</v>
      </c>
    </row>
    <row r="16" spans="1:97" s="267" customFormat="1" ht="11.25" customHeight="1">
      <c r="B16" s="171" t="s">
        <v>540</v>
      </c>
      <c r="C16" s="605"/>
      <c r="D16" s="478"/>
      <c r="E16" s="314"/>
      <c r="F16" s="314"/>
      <c r="G16" s="314">
        <f t="shared" ref="G16:L16" ca="1" si="8">SUM(G13:G15)</f>
        <v>0</v>
      </c>
      <c r="H16" s="314">
        <f t="shared" ca="1" si="8"/>
        <v>0</v>
      </c>
      <c r="I16" s="314">
        <f t="shared" ca="1" si="8"/>
        <v>0</v>
      </c>
      <c r="J16" s="314">
        <f t="shared" ca="1" si="8"/>
        <v>0</v>
      </c>
      <c r="K16" s="314">
        <f t="shared" ca="1" si="8"/>
        <v>0</v>
      </c>
      <c r="L16" s="314">
        <f t="shared" ca="1" si="8"/>
        <v>0</v>
      </c>
      <c r="N16" s="61">
        <f t="shared" si="1"/>
        <v>1</v>
      </c>
      <c r="O16" s="35">
        <v>1</v>
      </c>
    </row>
    <row r="17" spans="1:15" s="267" customFormat="1" ht="11.25" customHeight="1">
      <c r="B17" s="24" t="s">
        <v>520</v>
      </c>
      <c r="C17" s="553"/>
      <c r="E17" s="281"/>
      <c r="F17" s="280"/>
      <c r="G17" s="773">
        <f ca="1">'DCF - Financials'!L41+'DCF - Financials'!L37*'DCF - Assumptions'!L95+'LBO - Financials'!G138*'DCF - Assumptions'!L95-(G86+G87)*'DCF - Assumptions'!L95</f>
        <v>0</v>
      </c>
      <c r="H17" s="280">
        <f ca="1">'DCF - Financials'!M41+'DCF - Financials'!M37*'DCF - Assumptions'!M95+'LBO - Financials'!H138*'DCF - Assumptions'!M95-(H86+H87)*'DCF - Assumptions'!M95</f>
        <v>0</v>
      </c>
      <c r="I17" s="280">
        <f ca="1">'DCF - Financials'!N41+'DCF - Financials'!N37*'DCF - Assumptions'!N95+'LBO - Financials'!I138*'DCF - Assumptions'!N95-(I86+I87)*'DCF - Assumptions'!N95</f>
        <v>0</v>
      </c>
      <c r="J17" s="280">
        <f ca="1">'DCF - Financials'!O41+'DCF - Financials'!O37*'DCF - Assumptions'!O95+'LBO - Financials'!J138*'DCF - Assumptions'!O95-(J86+J87)*'DCF - Assumptions'!O95</f>
        <v>0</v>
      </c>
      <c r="K17" s="280">
        <f ca="1">'DCF - Financials'!P41+'DCF - Financials'!P37*'DCF - Assumptions'!P95+'LBO - Financials'!K138*'DCF - Assumptions'!P95-(K86+K87)*'DCF - Assumptions'!P95</f>
        <v>0</v>
      </c>
      <c r="L17" s="280">
        <f ca="1">'DCF - Financials'!Q41+'DCF - Financials'!Q37*'DCF - Assumptions'!Q95+'LBO - Financials'!L138*'DCF - Assumptions'!Q95-(L86+L87)*'DCF - Assumptions'!Q95</f>
        <v>0</v>
      </c>
      <c r="N17" s="61">
        <f t="shared" si="1"/>
        <v>1</v>
      </c>
      <c r="O17" s="35">
        <v>1</v>
      </c>
    </row>
    <row r="18" spans="1:15" s="267" customFormat="1" ht="11.25" customHeight="1">
      <c r="B18" s="24" t="s">
        <v>412</v>
      </c>
      <c r="C18" s="553"/>
      <c r="E18" s="281"/>
      <c r="F18" s="280"/>
      <c r="G18" s="280">
        <f>'DCF - Summary'!L61</f>
        <v>0</v>
      </c>
      <c r="H18" s="280">
        <f>'DCF - Summary'!M61</f>
        <v>0</v>
      </c>
      <c r="I18" s="280">
        <f>'DCF - Summary'!N61</f>
        <v>0</v>
      </c>
      <c r="J18" s="280">
        <f>'DCF - Summary'!O61</f>
        <v>0</v>
      </c>
      <c r="K18" s="280">
        <f>'DCF - Summary'!P61</f>
        <v>0</v>
      </c>
      <c r="L18" s="280">
        <f>'DCF - Summary'!Q61</f>
        <v>0</v>
      </c>
      <c r="N18" s="61">
        <f t="shared" si="1"/>
        <v>1</v>
      </c>
      <c r="O18" s="35">
        <v>1</v>
      </c>
    </row>
    <row r="19" spans="1:15" s="267" customFormat="1" ht="11.25" customHeight="1">
      <c r="B19" s="24" t="s">
        <v>411</v>
      </c>
      <c r="C19" s="553"/>
      <c r="E19" s="281"/>
      <c r="F19" s="280"/>
      <c r="G19" s="280">
        <f>'DCF - Summary'!L63</f>
        <v>0</v>
      </c>
      <c r="H19" s="280">
        <f>'DCF - Summary'!M63</f>
        <v>0</v>
      </c>
      <c r="I19" s="280">
        <f>'DCF - Summary'!N63</f>
        <v>0</v>
      </c>
      <c r="J19" s="280">
        <f>'DCF - Summary'!O63</f>
        <v>0</v>
      </c>
      <c r="K19" s="280">
        <f>'DCF - Summary'!P63</f>
        <v>0</v>
      </c>
      <c r="L19" s="280">
        <f>'DCF - Summary'!Q63</f>
        <v>0</v>
      </c>
      <c r="N19" s="61">
        <f t="shared" si="1"/>
        <v>1</v>
      </c>
      <c r="O19" s="35">
        <v>1</v>
      </c>
    </row>
    <row r="20" spans="1:15" s="267" customFormat="1" ht="11.25" customHeight="1">
      <c r="B20" s="478" t="s">
        <v>559</v>
      </c>
      <c r="C20" s="605"/>
      <c r="D20" s="478"/>
      <c r="E20" s="478"/>
      <c r="F20" s="314"/>
      <c r="G20" s="314">
        <f t="shared" ref="G20:L20" ca="1" si="9">SUM(G16:G19)</f>
        <v>0</v>
      </c>
      <c r="H20" s="314">
        <f t="shared" ca="1" si="9"/>
        <v>0</v>
      </c>
      <c r="I20" s="314">
        <f t="shared" ca="1" si="9"/>
        <v>0</v>
      </c>
      <c r="J20" s="314">
        <f t="shared" ca="1" si="9"/>
        <v>0</v>
      </c>
      <c r="K20" s="314">
        <f t="shared" ca="1" si="9"/>
        <v>0</v>
      </c>
      <c r="L20" s="314">
        <f t="shared" ca="1" si="9"/>
        <v>0</v>
      </c>
      <c r="N20" s="61">
        <f t="shared" si="1"/>
        <v>1</v>
      </c>
      <c r="O20" s="35">
        <v>1</v>
      </c>
    </row>
    <row r="21" spans="1:15" s="267" customFormat="1" ht="11.25" customHeight="1">
      <c r="B21" s="491" t="s">
        <v>492</v>
      </c>
      <c r="C21" s="610"/>
      <c r="D21" s="491"/>
      <c r="E21" s="491"/>
      <c r="F21" s="609"/>
      <c r="G21" s="609">
        <f ca="1">-G138</f>
        <v>0</v>
      </c>
      <c r="H21" s="609">
        <f ca="1">-H138</f>
        <v>0</v>
      </c>
      <c r="I21" s="609">
        <f ca="1">-I138</f>
        <v>0</v>
      </c>
      <c r="J21" s="609">
        <f ca="1">-J138</f>
        <v>0</v>
      </c>
      <c r="K21" s="609">
        <f t="shared" ref="K21:L21" ca="1" si="10">-K138</f>
        <v>0</v>
      </c>
      <c r="L21" s="609">
        <f t="shared" ca="1" si="10"/>
        <v>0</v>
      </c>
      <c r="N21" s="61">
        <f t="shared" si="1"/>
        <v>1</v>
      </c>
      <c r="O21" s="35">
        <v>1</v>
      </c>
    </row>
    <row r="22" spans="1:15" s="606" customFormat="1" ht="11.25" customHeight="1">
      <c r="B22" s="604" t="s">
        <v>179</v>
      </c>
      <c r="C22" s="608"/>
      <c r="F22" s="607"/>
      <c r="G22" s="607">
        <v>0</v>
      </c>
      <c r="H22" s="607">
        <v>0</v>
      </c>
      <c r="I22" s="607">
        <v>0</v>
      </c>
      <c r="J22" s="607">
        <v>0</v>
      </c>
      <c r="K22" s="607">
        <v>0</v>
      </c>
      <c r="L22" s="607">
        <v>0</v>
      </c>
      <c r="M22" s="267"/>
      <c r="N22" s="61">
        <f t="shared" si="1"/>
        <v>1</v>
      </c>
      <c r="O22" s="35">
        <v>1</v>
      </c>
    </row>
    <row r="23" spans="1:15" s="267" customFormat="1" ht="11.25" customHeight="1">
      <c r="B23" s="478" t="s">
        <v>519</v>
      </c>
      <c r="C23" s="605"/>
      <c r="D23" s="478"/>
      <c r="E23" s="478"/>
      <c r="F23" s="314"/>
      <c r="G23" s="314">
        <f t="shared" ref="G23:L23" ca="1" si="11">SUM(G20:G22)</f>
        <v>0</v>
      </c>
      <c r="H23" s="314">
        <f t="shared" ca="1" si="11"/>
        <v>0</v>
      </c>
      <c r="I23" s="314">
        <f t="shared" ca="1" si="11"/>
        <v>0</v>
      </c>
      <c r="J23" s="314">
        <f t="shared" ca="1" si="11"/>
        <v>0</v>
      </c>
      <c r="K23" s="314">
        <f t="shared" ca="1" si="11"/>
        <v>0</v>
      </c>
      <c r="L23" s="314">
        <f t="shared" ca="1" si="11"/>
        <v>0</v>
      </c>
      <c r="N23" s="61">
        <f t="shared" si="1"/>
        <v>1</v>
      </c>
      <c r="O23" s="35">
        <v>1</v>
      </c>
    </row>
    <row r="24" spans="1:15" s="267" customFormat="1" ht="11.25" customHeight="1">
      <c r="B24" s="604" t="s">
        <v>518</v>
      </c>
      <c r="C24" s="603"/>
      <c r="D24" s="335"/>
      <c r="E24" s="335"/>
      <c r="F24" s="333"/>
      <c r="G24" s="333">
        <f t="shared" ref="G24:L24" ca="1" si="12">(G153+G150+G147+G157)</f>
        <v>0</v>
      </c>
      <c r="H24" s="333">
        <f t="shared" ca="1" si="12"/>
        <v>0</v>
      </c>
      <c r="I24" s="333">
        <f t="shared" ca="1" si="12"/>
        <v>0</v>
      </c>
      <c r="J24" s="333">
        <f t="shared" ca="1" si="12"/>
        <v>0</v>
      </c>
      <c r="K24" s="333">
        <f t="shared" ca="1" si="12"/>
        <v>0</v>
      </c>
      <c r="L24" s="333">
        <f t="shared" ca="1" si="12"/>
        <v>0</v>
      </c>
      <c r="N24" s="61">
        <f t="shared" si="1"/>
        <v>1</v>
      </c>
      <c r="O24" s="35">
        <v>1</v>
      </c>
    </row>
    <row r="25" spans="1:15" s="267" customFormat="1" ht="11.25" customHeight="1">
      <c r="B25" s="604" t="s">
        <v>517</v>
      </c>
      <c r="C25" s="603"/>
      <c r="D25" s="335"/>
      <c r="E25" s="335"/>
      <c r="F25" s="333"/>
      <c r="G25" s="333">
        <f ca="1">-IF(SUM(G23:G24)&gt;0,SUM(G23:G24),0)</f>
        <v>0</v>
      </c>
      <c r="H25" s="333">
        <f ca="1">-IF(SUM(H23:H24)&gt;0,SUM(H23:H24),0)</f>
        <v>0</v>
      </c>
      <c r="I25" s="333">
        <f ca="1">-IF(SUM(I23:I24)&gt;0,SUM(I23:I24),0)</f>
        <v>0</v>
      </c>
      <c r="J25" s="333">
        <f ca="1">-IF(SUM(J23:J24)&gt;0,SUM(J23:J24),0)</f>
        <v>0</v>
      </c>
      <c r="K25" s="333">
        <f t="shared" ref="K25:L25" ca="1" si="13">-IF(SUM(K23:K24)&gt;0,SUM(K23:K24),0)</f>
        <v>0</v>
      </c>
      <c r="L25" s="333">
        <f t="shared" ca="1" si="13"/>
        <v>0</v>
      </c>
      <c r="N25" s="61">
        <f t="shared" si="1"/>
        <v>1</v>
      </c>
      <c r="O25" s="35">
        <v>1</v>
      </c>
    </row>
    <row r="26" spans="1:15" s="267" customFormat="1" ht="11.25" customHeight="1">
      <c r="B26" s="604"/>
      <c r="C26" s="603"/>
      <c r="D26" s="335"/>
      <c r="E26" s="335"/>
      <c r="F26" s="333"/>
      <c r="G26" s="333"/>
      <c r="H26" s="333"/>
      <c r="I26" s="333"/>
      <c r="J26" s="333"/>
      <c r="K26" s="333"/>
      <c r="L26" s="333"/>
      <c r="N26" s="61">
        <f t="shared" si="1"/>
        <v>0</v>
      </c>
      <c r="O26" s="35">
        <v>0</v>
      </c>
    </row>
    <row r="27" spans="1:15" s="267" customFormat="1" ht="11.25" customHeight="1">
      <c r="B27" s="267" t="s">
        <v>521</v>
      </c>
      <c r="C27" s="553"/>
      <c r="E27" s="281"/>
      <c r="F27" s="280"/>
      <c r="G27" s="280">
        <f t="shared" ref="G27:L27" si="14">F28</f>
        <v>0</v>
      </c>
      <c r="H27" s="280">
        <f t="shared" ca="1" si="14"/>
        <v>0</v>
      </c>
      <c r="I27" s="280">
        <f t="shared" ca="1" si="14"/>
        <v>0</v>
      </c>
      <c r="J27" s="280">
        <f t="shared" ca="1" si="14"/>
        <v>0</v>
      </c>
      <c r="K27" s="280">
        <f t="shared" ca="1" si="14"/>
        <v>0</v>
      </c>
      <c r="L27" s="280">
        <f t="shared" ca="1" si="14"/>
        <v>0</v>
      </c>
      <c r="N27" s="61">
        <f t="shared" si="1"/>
        <v>1</v>
      </c>
      <c r="O27" s="35">
        <v>1</v>
      </c>
    </row>
    <row r="28" spans="1:15" s="267" customFormat="1" ht="11.25" customHeight="1">
      <c r="B28" s="555" t="s">
        <v>516</v>
      </c>
      <c r="C28" s="556"/>
      <c r="D28" s="555"/>
      <c r="E28" s="555"/>
      <c r="F28" s="554"/>
      <c r="G28" s="554">
        <f t="shared" ref="G28:L28" ca="1" si="15">SUM(G23:G25,G27)</f>
        <v>0</v>
      </c>
      <c r="H28" s="554">
        <f t="shared" ca="1" si="15"/>
        <v>0</v>
      </c>
      <c r="I28" s="554">
        <f t="shared" ca="1" si="15"/>
        <v>0</v>
      </c>
      <c r="J28" s="554">
        <f t="shared" ca="1" si="15"/>
        <v>0</v>
      </c>
      <c r="K28" s="554">
        <f t="shared" ca="1" si="15"/>
        <v>0</v>
      </c>
      <c r="L28" s="554">
        <f t="shared" ca="1" si="15"/>
        <v>0</v>
      </c>
      <c r="N28" s="61">
        <f t="shared" si="1"/>
        <v>1</v>
      </c>
      <c r="O28" s="35">
        <v>1</v>
      </c>
    </row>
    <row r="29" spans="1:15" s="267" customFormat="1" ht="11.25" customHeight="1">
      <c r="C29" s="563"/>
      <c r="E29" s="562"/>
      <c r="F29" s="602"/>
      <c r="G29" s="602"/>
      <c r="H29" s="602"/>
      <c r="I29" s="602"/>
      <c r="J29" s="602"/>
      <c r="K29" s="602"/>
      <c r="L29" s="602"/>
      <c r="N29" s="61">
        <f t="shared" si="1"/>
        <v>0</v>
      </c>
      <c r="O29" s="35">
        <v>0</v>
      </c>
    </row>
    <row r="30" spans="1:15" s="267" customFormat="1" ht="11.25" customHeight="1">
      <c r="C30" s="563"/>
      <c r="E30" s="562"/>
      <c r="F30" s="54"/>
      <c r="G30" s="471" t="s">
        <v>415</v>
      </c>
      <c r="H30" s="471"/>
      <c r="I30" s="471"/>
      <c r="J30" s="471"/>
      <c r="K30" s="471"/>
      <c r="L30" s="471"/>
      <c r="N30" s="61">
        <f t="shared" si="1"/>
        <v>0</v>
      </c>
      <c r="O30" s="35">
        <v>0</v>
      </c>
    </row>
    <row r="31" spans="1:15" ht="13.8" thickBot="1">
      <c r="A31" s="24"/>
      <c r="B31" s="470" t="s">
        <v>563</v>
      </c>
      <c r="C31" s="559"/>
      <c r="D31" s="470"/>
      <c r="E31" s="470"/>
      <c r="F31" s="470">
        <f>F8</f>
        <v>2019</v>
      </c>
      <c r="G31" s="470">
        <f t="shared" ref="G31:L31" si="16">G8</f>
        <v>2020</v>
      </c>
      <c r="H31" s="470">
        <f t="shared" si="16"/>
        <v>2021</v>
      </c>
      <c r="I31" s="470">
        <f t="shared" si="16"/>
        <v>2022</v>
      </c>
      <c r="J31" s="470">
        <f t="shared" si="16"/>
        <v>2023</v>
      </c>
      <c r="K31" s="470">
        <f t="shared" si="16"/>
        <v>2024</v>
      </c>
      <c r="L31" s="470">
        <f t="shared" si="16"/>
        <v>2025</v>
      </c>
      <c r="N31" s="61">
        <f t="shared" si="1"/>
        <v>1</v>
      </c>
      <c r="O31" s="35">
        <v>1</v>
      </c>
    </row>
    <row r="32" spans="1:15" s="267" customFormat="1" ht="11.25" customHeight="1">
      <c r="B32" s="267" t="s">
        <v>510</v>
      </c>
      <c r="C32" s="283"/>
      <c r="D32" s="137"/>
      <c r="E32" s="281"/>
      <c r="F32" s="281">
        <f ca="1">-'LBO - Assumptions'!E55</f>
        <v>-490.5</v>
      </c>
      <c r="G32" s="599">
        <v>0</v>
      </c>
      <c r="H32" s="599">
        <v>0</v>
      </c>
      <c r="I32" s="599">
        <v>0</v>
      </c>
      <c r="J32" s="599">
        <v>0</v>
      </c>
      <c r="K32" s="599">
        <v>0</v>
      </c>
      <c r="L32" s="599">
        <v>0</v>
      </c>
      <c r="N32" s="61">
        <f t="shared" si="1"/>
        <v>1</v>
      </c>
      <c r="O32" s="35">
        <v>1</v>
      </c>
    </row>
    <row r="33" spans="1:15" s="267" customFormat="1" ht="11.25" customHeight="1">
      <c r="B33" s="267" t="s">
        <v>513</v>
      </c>
      <c r="C33" s="553"/>
      <c r="E33" s="281"/>
      <c r="F33" s="280"/>
      <c r="G33" s="280">
        <f ca="1">IF(G34=0,0,1)*IF('LBO - Assumptions'!$F$81=1,('LBO - Assumptions'!$F$83-('LBO - Assumptions'!$F$83)))</f>
        <v>0</v>
      </c>
      <c r="H33" s="280">
        <f ca="1">IF(H34=0,0,1)*IF('LBO - Assumptions'!$F$81=1,('LBO - Assumptions'!$F$83-('LBO - Assumptions'!$F$83)))</f>
        <v>0</v>
      </c>
      <c r="I33" s="280">
        <f ca="1">IF(I34=0,0,1)*IF('LBO - Assumptions'!$F$81=1,('LBO - Assumptions'!$F$83-('LBO - Assumptions'!$F$83)))</f>
        <v>0</v>
      </c>
      <c r="J33" s="280">
        <f ca="1">IF(J34=0,0,1)*IF('LBO - Assumptions'!$F$81=1,('LBO - Assumptions'!$F$83-('LBO - Assumptions'!$F$83)))</f>
        <v>0</v>
      </c>
      <c r="K33" s="280">
        <f ca="1">IF(K34=0,0,1)*IF('LBO - Assumptions'!$F$81=1,('LBO - Assumptions'!$F$83-('LBO - Assumptions'!$F$83)))</f>
        <v>0</v>
      </c>
      <c r="L33" s="280">
        <f ca="1">IF(L34=0,0,1)*IF('LBO - Assumptions'!$F$81=1,('LBO - Assumptions'!$F$83-('LBO - Assumptions'!$F$83)))</f>
        <v>0</v>
      </c>
      <c r="N33" s="61">
        <f t="shared" si="1"/>
        <v>1</v>
      </c>
      <c r="O33" s="35">
        <v>1</v>
      </c>
    </row>
    <row r="34" spans="1:15" s="267" customFormat="1" ht="11.25" customHeight="1">
      <c r="B34" s="137" t="s">
        <v>514</v>
      </c>
      <c r="C34" s="283"/>
      <c r="D34" s="137"/>
      <c r="E34" s="281"/>
      <c r="F34" s="281"/>
      <c r="G34" s="281">
        <f ca="1">G41*G42</f>
        <v>0</v>
      </c>
      <c r="H34" s="281">
        <f ca="1">H41*H42</f>
        <v>0</v>
      </c>
      <c r="I34" s="281">
        <f ca="1">I41*I42</f>
        <v>0</v>
      </c>
      <c r="J34" s="281">
        <f ca="1">(J41*J42)</f>
        <v>0</v>
      </c>
      <c r="K34" s="281">
        <f ca="1">(K41*K42)</f>
        <v>0</v>
      </c>
      <c r="L34" s="281">
        <f ca="1">(L41*L42)</f>
        <v>0</v>
      </c>
      <c r="N34" s="61">
        <f t="shared" si="1"/>
        <v>1</v>
      </c>
      <c r="O34" s="35">
        <v>1</v>
      </c>
    </row>
    <row r="35" spans="1:15" s="267" customFormat="1" ht="11.25" customHeight="1">
      <c r="B35" s="267" t="s">
        <v>560</v>
      </c>
      <c r="C35" s="553"/>
      <c r="E35" s="281"/>
      <c r="F35" s="280"/>
      <c r="G35" s="280">
        <f ca="1">IF(G34=0,0,1)*-'LBO - Financials'!G122</f>
        <v>0</v>
      </c>
      <c r="H35" s="280">
        <f ca="1">IF(H34=0,0,1)*-'LBO - Financials'!H122</f>
        <v>0</v>
      </c>
      <c r="I35" s="280">
        <f ca="1">IF(I34=0,0,1)*-'LBO - Financials'!I122</f>
        <v>0</v>
      </c>
      <c r="J35" s="280">
        <f ca="1">IF(J34=0,0,1)*-'LBO - Financials'!J122</f>
        <v>0</v>
      </c>
      <c r="K35" s="280">
        <f ca="1">IF(K34=0,0,1)*-'LBO - Financials'!K122</f>
        <v>0</v>
      </c>
      <c r="L35" s="280">
        <f ca="1">IF(L34=0,0,1)*-'LBO - Financials'!L122</f>
        <v>0</v>
      </c>
      <c r="N35" s="61">
        <f t="shared" si="1"/>
        <v>1</v>
      </c>
      <c r="O35" s="35">
        <v>1</v>
      </c>
    </row>
    <row r="36" spans="1:15" s="267" customFormat="1" ht="11.25" customHeight="1">
      <c r="B36" s="137" t="s">
        <v>511</v>
      </c>
      <c r="C36" s="283"/>
      <c r="D36" s="137"/>
      <c r="E36" s="281"/>
      <c r="F36" s="281"/>
      <c r="G36" s="281">
        <f ca="1">G34*-'LBO - Assumptions'!$C$104</f>
        <v>0</v>
      </c>
      <c r="H36" s="281">
        <f ca="1">H34*-'LBO - Assumptions'!$C$104</f>
        <v>0</v>
      </c>
      <c r="I36" s="281">
        <f ca="1">I34*-'LBO - Assumptions'!$C$104</f>
        <v>0</v>
      </c>
      <c r="J36" s="281">
        <f ca="1">J34*-'LBO - Assumptions'!$C$104</f>
        <v>0</v>
      </c>
      <c r="K36" s="281">
        <f ca="1">K34*-'LBO - Assumptions'!$C$104</f>
        <v>0</v>
      </c>
      <c r="L36" s="281">
        <f ca="1">L34*-'LBO - Assumptions'!$C$104</f>
        <v>0</v>
      </c>
      <c r="N36" s="61">
        <f t="shared" si="1"/>
        <v>1</v>
      </c>
      <c r="O36" s="35">
        <v>1</v>
      </c>
    </row>
    <row r="37" spans="1:15" s="267" customFormat="1" ht="11.25" customHeight="1">
      <c r="B37" s="267" t="s">
        <v>512</v>
      </c>
      <c r="C37" s="553"/>
      <c r="E37" s="281"/>
      <c r="F37" s="280"/>
      <c r="G37" s="280">
        <f t="shared" ref="G37:L37" ca="1" si="17">-G25</f>
        <v>0</v>
      </c>
      <c r="H37" s="280">
        <f t="shared" ca="1" si="17"/>
        <v>0</v>
      </c>
      <c r="I37" s="280">
        <f t="shared" ca="1" si="17"/>
        <v>0</v>
      </c>
      <c r="J37" s="280">
        <f t="shared" ca="1" si="17"/>
        <v>0</v>
      </c>
      <c r="K37" s="280">
        <f t="shared" ca="1" si="17"/>
        <v>0</v>
      </c>
      <c r="L37" s="280">
        <f t="shared" ca="1" si="17"/>
        <v>0</v>
      </c>
      <c r="N37" s="61">
        <f t="shared" si="1"/>
        <v>1</v>
      </c>
      <c r="O37" s="35">
        <v>1</v>
      </c>
    </row>
    <row r="38" spans="1:15" s="267" customFormat="1" ht="11.25" customHeight="1">
      <c r="B38" s="555" t="s">
        <v>509</v>
      </c>
      <c r="C38" s="556"/>
      <c r="D38" s="555"/>
      <c r="E38" s="554"/>
      <c r="F38" s="554">
        <f ca="1">F34+F33+SUM(F35:F37)+F32</f>
        <v>-490.5</v>
      </c>
      <c r="G38" s="554">
        <f t="shared" ref="G38:L38" ca="1" si="18">SUM(G32:G37)</f>
        <v>0</v>
      </c>
      <c r="H38" s="554">
        <f t="shared" ca="1" si="18"/>
        <v>0</v>
      </c>
      <c r="I38" s="554">
        <f t="shared" ca="1" si="18"/>
        <v>0</v>
      </c>
      <c r="J38" s="554">
        <f t="shared" ca="1" si="18"/>
        <v>0</v>
      </c>
      <c r="K38" s="554">
        <f t="shared" ca="1" si="18"/>
        <v>0</v>
      </c>
      <c r="L38" s="554">
        <f t="shared" ca="1" si="18"/>
        <v>0</v>
      </c>
      <c r="N38" s="61">
        <f t="shared" si="1"/>
        <v>1</v>
      </c>
      <c r="O38" s="35">
        <v>1</v>
      </c>
    </row>
    <row r="39" spans="1:15" s="267" customFormat="1" ht="11.25" customHeight="1">
      <c r="B39" s="26" t="s">
        <v>508</v>
      </c>
      <c r="C39" s="598"/>
      <c r="D39" s="597"/>
      <c r="E39" s="596"/>
      <c r="F39" s="596">
        <f ca="1">IFERROR(IRR(F38:L38),0)</f>
        <v>0</v>
      </c>
      <c r="G39" s="595"/>
      <c r="H39" s="595"/>
      <c r="I39" s="595"/>
      <c r="J39" s="595"/>
      <c r="K39" s="595"/>
      <c r="L39" s="595"/>
      <c r="N39" s="61">
        <f t="shared" si="1"/>
        <v>1</v>
      </c>
      <c r="O39" s="35">
        <v>1</v>
      </c>
    </row>
    <row r="40" spans="1:15" s="267" customFormat="1" ht="11.25" customHeight="1">
      <c r="B40" s="267" t="s">
        <v>437</v>
      </c>
      <c r="C40" s="553"/>
      <c r="E40" s="696" t="s">
        <v>437</v>
      </c>
      <c r="N40" s="61">
        <f t="shared" si="1"/>
        <v>1</v>
      </c>
      <c r="O40" s="35">
        <v>1</v>
      </c>
    </row>
    <row r="41" spans="1:15" s="267" customFormat="1" ht="11.25" customHeight="1">
      <c r="B41" s="267" t="s">
        <v>515</v>
      </c>
      <c r="C41" s="553"/>
      <c r="E41" s="601">
        <f>'LBO - Assumptions'!F114</f>
        <v>2025</v>
      </c>
      <c r="F41" s="280"/>
      <c r="G41" s="280">
        <f t="shared" ref="G41:L41" ca="1" si="19">IF(G31=$E$41,1,0)*G16</f>
        <v>0</v>
      </c>
      <c r="H41" s="280">
        <f t="shared" ca="1" si="19"/>
        <v>0</v>
      </c>
      <c r="I41" s="280">
        <f t="shared" ca="1" si="19"/>
        <v>0</v>
      </c>
      <c r="J41" s="280">
        <f t="shared" ca="1" si="19"/>
        <v>0</v>
      </c>
      <c r="K41" s="280">
        <f t="shared" ca="1" si="19"/>
        <v>0</v>
      </c>
      <c r="L41" s="280">
        <f t="shared" ca="1" si="19"/>
        <v>0</v>
      </c>
      <c r="N41" s="61">
        <f t="shared" si="1"/>
        <v>1</v>
      </c>
      <c r="O41" s="35">
        <v>1</v>
      </c>
    </row>
    <row r="42" spans="1:15" s="267" customFormat="1" ht="11.25" customHeight="1">
      <c r="B42" s="137" t="s">
        <v>436</v>
      </c>
      <c r="C42" s="283"/>
      <c r="D42" s="137"/>
      <c r="E42" s="281"/>
      <c r="F42" s="600"/>
      <c r="G42" s="600">
        <f ca="1">IF(G31=$E$41,1,0)*'LBO - Assumptions'!$D$34</f>
        <v>0</v>
      </c>
      <c r="H42" s="600">
        <f ca="1">IF(H31=$E$41,1,0)*'LBO - Assumptions'!$D$34</f>
        <v>0</v>
      </c>
      <c r="I42" s="600">
        <f ca="1">IF(I31=$E$41,1,0)*'LBO - Assumptions'!$D$34</f>
        <v>0</v>
      </c>
      <c r="J42" s="600">
        <f ca="1">IF(J31=$E$41,1,0)*'LBO - Assumptions'!$D$34</f>
        <v>0</v>
      </c>
      <c r="K42" s="600">
        <f ca="1">IF(K31=$E$41,1,0)*'LBO - Assumptions'!$D$34</f>
        <v>0</v>
      </c>
      <c r="L42" s="600">
        <f ca="1">IF(L31=$E$41,1,0)*'LBO - Assumptions'!$D$34</f>
        <v>0</v>
      </c>
      <c r="N42" s="61">
        <f t="shared" si="1"/>
        <v>1</v>
      </c>
      <c r="O42" s="35">
        <v>1</v>
      </c>
    </row>
    <row r="43" spans="1:15" s="137" customFormat="1" ht="11.25" customHeight="1">
      <c r="C43" s="283"/>
      <c r="E43" s="281"/>
      <c r="F43" s="600"/>
      <c r="G43" s="600"/>
      <c r="H43" s="600"/>
      <c r="I43" s="600"/>
      <c r="J43" s="600"/>
      <c r="K43" s="600"/>
      <c r="L43" s="600"/>
      <c r="N43" s="61">
        <f t="shared" si="1"/>
        <v>0</v>
      </c>
      <c r="O43" s="35">
        <v>0</v>
      </c>
    </row>
    <row r="44" spans="1:15" s="137" customFormat="1" ht="11.25" customHeight="1">
      <c r="C44" s="283"/>
      <c r="E44" s="281"/>
      <c r="F44" s="54"/>
      <c r="G44" s="471" t="s">
        <v>415</v>
      </c>
      <c r="H44" s="471"/>
      <c r="I44" s="471"/>
      <c r="J44" s="471"/>
      <c r="K44" s="471"/>
      <c r="L44" s="471"/>
      <c r="N44" s="61">
        <f t="shared" si="1"/>
        <v>0</v>
      </c>
      <c r="O44" s="35">
        <v>0</v>
      </c>
    </row>
    <row r="45" spans="1:15" ht="13.8" thickBot="1">
      <c r="A45" s="24"/>
      <c r="B45" s="470" t="s">
        <v>576</v>
      </c>
      <c r="C45" s="559"/>
      <c r="D45" s="470"/>
      <c r="E45" s="470"/>
      <c r="F45" s="470">
        <f t="shared" ref="F45:L45" si="20">F8</f>
        <v>2019</v>
      </c>
      <c r="G45" s="470">
        <f t="shared" si="20"/>
        <v>2020</v>
      </c>
      <c r="H45" s="470">
        <f t="shared" si="20"/>
        <v>2021</v>
      </c>
      <c r="I45" s="470">
        <f t="shared" si="20"/>
        <v>2022</v>
      </c>
      <c r="J45" s="470">
        <f t="shared" si="20"/>
        <v>2023</v>
      </c>
      <c r="K45" s="470">
        <f t="shared" si="20"/>
        <v>2024</v>
      </c>
      <c r="L45" s="470">
        <f t="shared" si="20"/>
        <v>2025</v>
      </c>
      <c r="N45" s="61">
        <f t="shared" si="1"/>
        <v>1</v>
      </c>
      <c r="O45" s="35">
        <v>1</v>
      </c>
    </row>
    <row r="46" spans="1:15" s="137" customFormat="1" ht="11.25" customHeight="1">
      <c r="C46" s="283"/>
      <c r="E46" s="281"/>
      <c r="F46" s="600"/>
      <c r="G46" s="600"/>
      <c r="H46" s="600"/>
      <c r="I46" s="600"/>
      <c r="J46" s="600"/>
      <c r="K46" s="600"/>
      <c r="L46" s="600"/>
      <c r="N46" s="61">
        <f t="shared" si="1"/>
        <v>0</v>
      </c>
      <c r="O46" s="35">
        <v>0</v>
      </c>
    </row>
    <row r="47" spans="1:15" s="267" customFormat="1" ht="11.25" customHeight="1">
      <c r="B47" s="137" t="s">
        <v>568</v>
      </c>
      <c r="C47" s="283"/>
      <c r="D47" s="137"/>
      <c r="E47" s="281"/>
      <c r="F47" s="281"/>
      <c r="G47" s="281">
        <f ca="1">F49</f>
        <v>0</v>
      </c>
      <c r="H47" s="281">
        <f t="shared" ref="H47:L48" ca="1" si="21">H96</f>
        <v>0</v>
      </c>
      <c r="I47" s="281">
        <f t="shared" ca="1" si="21"/>
        <v>0</v>
      </c>
      <c r="J47" s="281">
        <f t="shared" ca="1" si="21"/>
        <v>0</v>
      </c>
      <c r="K47" s="281">
        <f t="shared" ca="1" si="21"/>
        <v>0</v>
      </c>
      <c r="L47" s="281">
        <f t="shared" ca="1" si="21"/>
        <v>0</v>
      </c>
      <c r="N47" s="61">
        <f>IF(NOT(ISBLANK(B47)), 1, 0)</f>
        <v>1</v>
      </c>
      <c r="O47" s="35">
        <v>1</v>
      </c>
    </row>
    <row r="48" spans="1:15" s="267" customFormat="1" ht="11.25" customHeight="1">
      <c r="B48" s="268" t="s">
        <v>569</v>
      </c>
      <c r="C48" s="291"/>
      <c r="D48" s="268"/>
      <c r="E48" s="321"/>
      <c r="F48" s="321"/>
      <c r="G48" s="321">
        <f ca="1">G97</f>
        <v>0</v>
      </c>
      <c r="H48" s="321">
        <f t="shared" ca="1" si="21"/>
        <v>0</v>
      </c>
      <c r="I48" s="321">
        <f t="shared" ca="1" si="21"/>
        <v>0</v>
      </c>
      <c r="J48" s="321">
        <f t="shared" ca="1" si="21"/>
        <v>0</v>
      </c>
      <c r="K48" s="321">
        <f t="shared" ca="1" si="21"/>
        <v>0</v>
      </c>
      <c r="L48" s="321">
        <f t="shared" ca="1" si="21"/>
        <v>0</v>
      </c>
      <c r="N48" s="61">
        <f>IF(NOT(ISBLANK(B48)), 1, 0)</f>
        <v>1</v>
      </c>
      <c r="O48" s="35">
        <v>1</v>
      </c>
    </row>
    <row r="49" spans="1:97" s="267" customFormat="1" ht="11.25" customHeight="1">
      <c r="B49" s="268" t="s">
        <v>566</v>
      </c>
      <c r="C49" s="291"/>
      <c r="D49" s="268"/>
      <c r="E49" s="321"/>
      <c r="F49" s="321">
        <f ca="1">F98</f>
        <v>0</v>
      </c>
      <c r="G49" s="321">
        <f t="shared" ref="G49:L49" ca="1" si="22">SUM(G47:G48)</f>
        <v>0</v>
      </c>
      <c r="H49" s="321">
        <f t="shared" ca="1" si="22"/>
        <v>0</v>
      </c>
      <c r="I49" s="321">
        <f t="shared" ca="1" si="22"/>
        <v>0</v>
      </c>
      <c r="J49" s="321">
        <f t="shared" ca="1" si="22"/>
        <v>0</v>
      </c>
      <c r="K49" s="321">
        <f t="shared" ca="1" si="22"/>
        <v>0</v>
      </c>
      <c r="L49" s="321">
        <f t="shared" ca="1" si="22"/>
        <v>0</v>
      </c>
      <c r="N49" s="61">
        <f>IF(NOT(ISBLANK(B49)), 1, 0)</f>
        <v>1</v>
      </c>
      <c r="O49" s="35">
        <v>1</v>
      </c>
    </row>
    <row r="50" spans="1:97" s="267" customFormat="1" ht="11.25" customHeight="1">
      <c r="B50" s="137"/>
      <c r="C50" s="283"/>
      <c r="D50" s="137"/>
      <c r="E50" s="281"/>
      <c r="F50" s="281"/>
      <c r="G50" s="281"/>
      <c r="H50" s="281"/>
      <c r="I50" s="281"/>
      <c r="J50" s="281"/>
      <c r="K50" s="281"/>
      <c r="L50" s="281"/>
      <c r="N50" s="61">
        <f>IF(NOT(ISBLANK(B50)), 1, 0)</f>
        <v>0</v>
      </c>
      <c r="O50" s="35">
        <v>0</v>
      </c>
    </row>
    <row r="51" spans="1:97" s="267" customFormat="1" ht="11.25" customHeight="1">
      <c r="B51" s="137" t="s">
        <v>564</v>
      </c>
      <c r="C51" s="283"/>
      <c r="D51" s="137"/>
      <c r="E51" s="281"/>
      <c r="F51" s="281"/>
      <c r="G51" s="281">
        <f ca="1">F53</f>
        <v>0</v>
      </c>
      <c r="H51" s="281">
        <f t="shared" ref="G51:L52" ca="1" si="23">H101</f>
        <v>0</v>
      </c>
      <c r="I51" s="281">
        <f t="shared" ca="1" si="23"/>
        <v>0</v>
      </c>
      <c r="J51" s="281">
        <f t="shared" ca="1" si="23"/>
        <v>0</v>
      </c>
      <c r="K51" s="281">
        <f t="shared" ca="1" si="23"/>
        <v>0</v>
      </c>
      <c r="L51" s="281">
        <f t="shared" ca="1" si="23"/>
        <v>0</v>
      </c>
      <c r="N51" s="61">
        <f t="shared" si="1"/>
        <v>1</v>
      </c>
      <c r="O51" s="35">
        <v>1</v>
      </c>
    </row>
    <row r="52" spans="1:97" s="267" customFormat="1" ht="11.25" customHeight="1">
      <c r="B52" s="268" t="s">
        <v>567</v>
      </c>
      <c r="C52" s="291"/>
      <c r="D52" s="268"/>
      <c r="E52" s="321"/>
      <c r="F52" s="321">
        <f>F102</f>
        <v>0</v>
      </c>
      <c r="G52" s="321">
        <f t="shared" ca="1" si="23"/>
        <v>0</v>
      </c>
      <c r="H52" s="321">
        <f t="shared" ca="1" si="23"/>
        <v>0</v>
      </c>
      <c r="I52" s="321">
        <f t="shared" ca="1" si="23"/>
        <v>0</v>
      </c>
      <c r="J52" s="321">
        <f t="shared" ca="1" si="23"/>
        <v>0</v>
      </c>
      <c r="K52" s="321">
        <f t="shared" ca="1" si="23"/>
        <v>0</v>
      </c>
      <c r="L52" s="321">
        <f t="shared" ca="1" si="23"/>
        <v>0</v>
      </c>
      <c r="N52" s="61">
        <f t="shared" si="1"/>
        <v>1</v>
      </c>
      <c r="O52" s="35">
        <v>1</v>
      </c>
    </row>
    <row r="53" spans="1:97" s="267" customFormat="1" ht="11.25" customHeight="1">
      <c r="B53" s="268" t="s">
        <v>565</v>
      </c>
      <c r="C53" s="291"/>
      <c r="D53" s="268"/>
      <c r="E53" s="321"/>
      <c r="F53" s="321">
        <f ca="1">F103</f>
        <v>0</v>
      </c>
      <c r="G53" s="321">
        <f ca="1">SUM(G51:G52)</f>
        <v>0</v>
      </c>
      <c r="H53" s="321">
        <f t="shared" ref="H53:L53" ca="1" si="24">SUM(H51:H52)</f>
        <v>0</v>
      </c>
      <c r="I53" s="321">
        <f t="shared" ca="1" si="24"/>
        <v>0</v>
      </c>
      <c r="J53" s="321">
        <f t="shared" ca="1" si="24"/>
        <v>0</v>
      </c>
      <c r="K53" s="321">
        <f t="shared" ca="1" si="24"/>
        <v>0</v>
      </c>
      <c r="L53" s="321">
        <f t="shared" ca="1" si="24"/>
        <v>0</v>
      </c>
      <c r="N53" s="61">
        <f t="shared" si="1"/>
        <v>1</v>
      </c>
      <c r="O53" s="35">
        <v>1</v>
      </c>
    </row>
    <row r="54" spans="1:97" s="267" customFormat="1" ht="11.25" customHeight="1">
      <c r="B54" s="137"/>
      <c r="C54" s="283"/>
      <c r="D54" s="137"/>
      <c r="E54" s="281"/>
      <c r="F54" s="281"/>
      <c r="G54" s="281"/>
      <c r="H54" s="281"/>
      <c r="I54" s="281"/>
      <c r="J54" s="281"/>
      <c r="K54" s="281"/>
      <c r="L54" s="281"/>
      <c r="N54" s="61">
        <f t="shared" si="1"/>
        <v>0</v>
      </c>
      <c r="O54" s="35">
        <v>0</v>
      </c>
    </row>
    <row r="55" spans="1:97" s="267" customFormat="1" ht="11.25" customHeight="1">
      <c r="B55" s="137" t="s">
        <v>570</v>
      </c>
      <c r="C55" s="283"/>
      <c r="D55" s="137"/>
      <c r="E55" s="281"/>
      <c r="F55" s="281"/>
      <c r="G55" s="281">
        <f ca="1">F57</f>
        <v>0</v>
      </c>
      <c r="H55" s="281">
        <f ca="1">H106</f>
        <v>0</v>
      </c>
      <c r="I55" s="281">
        <f t="shared" ref="I55:L55" ca="1" si="25">I106</f>
        <v>0</v>
      </c>
      <c r="J55" s="281">
        <f t="shared" ca="1" si="25"/>
        <v>0</v>
      </c>
      <c r="K55" s="281">
        <f t="shared" ca="1" si="25"/>
        <v>0</v>
      </c>
      <c r="L55" s="281">
        <f t="shared" ca="1" si="25"/>
        <v>0</v>
      </c>
      <c r="N55" s="61">
        <f t="shared" si="1"/>
        <v>1</v>
      </c>
      <c r="O55" s="35">
        <v>1</v>
      </c>
    </row>
    <row r="56" spans="1:97" s="267" customFormat="1" ht="11.25" customHeight="1">
      <c r="B56" s="268" t="s">
        <v>571</v>
      </c>
      <c r="C56" s="291"/>
      <c r="D56" s="268"/>
      <c r="E56" s="321"/>
      <c r="F56" s="321"/>
      <c r="G56" s="321">
        <f ca="1">G107</f>
        <v>0</v>
      </c>
      <c r="H56" s="321">
        <f t="shared" ref="H56:L56" ca="1" si="26">H107</f>
        <v>0</v>
      </c>
      <c r="I56" s="321">
        <f t="shared" ca="1" si="26"/>
        <v>0</v>
      </c>
      <c r="J56" s="321">
        <f t="shared" ca="1" si="26"/>
        <v>0</v>
      </c>
      <c r="K56" s="321">
        <f t="shared" ca="1" si="26"/>
        <v>0</v>
      </c>
      <c r="L56" s="321">
        <f t="shared" ca="1" si="26"/>
        <v>0</v>
      </c>
      <c r="N56" s="61">
        <f t="shared" si="1"/>
        <v>1</v>
      </c>
      <c r="O56" s="35">
        <v>1</v>
      </c>
    </row>
    <row r="57" spans="1:97" s="267" customFormat="1" ht="11.25" customHeight="1">
      <c r="B57" s="268" t="s">
        <v>572</v>
      </c>
      <c r="C57" s="291"/>
      <c r="D57" s="268"/>
      <c r="E57" s="321"/>
      <c r="F57" s="321">
        <f ca="1">F108</f>
        <v>0</v>
      </c>
      <c r="G57" s="321">
        <f ca="1">SUM(G55:G56)</f>
        <v>0</v>
      </c>
      <c r="H57" s="321">
        <f t="shared" ref="H57:L57" ca="1" si="27">SUM(H55:H56)</f>
        <v>0</v>
      </c>
      <c r="I57" s="321">
        <f t="shared" ca="1" si="27"/>
        <v>0</v>
      </c>
      <c r="J57" s="321">
        <f t="shared" ca="1" si="27"/>
        <v>0</v>
      </c>
      <c r="K57" s="321">
        <f t="shared" ca="1" si="27"/>
        <v>0</v>
      </c>
      <c r="L57" s="321">
        <f t="shared" ca="1" si="27"/>
        <v>0</v>
      </c>
      <c r="N57" s="61">
        <f t="shared" si="1"/>
        <v>1</v>
      </c>
      <c r="O57" s="35">
        <v>1</v>
      </c>
    </row>
    <row r="58" spans="1:97" s="267" customFormat="1" ht="11.25" customHeight="1">
      <c r="B58" s="137"/>
      <c r="C58" s="283"/>
      <c r="D58" s="137"/>
      <c r="E58" s="281"/>
      <c r="F58" s="281"/>
      <c r="G58" s="281"/>
      <c r="H58" s="281"/>
      <c r="I58" s="281"/>
      <c r="J58" s="281"/>
      <c r="K58" s="281"/>
      <c r="L58" s="281"/>
      <c r="N58" s="61">
        <f t="shared" si="1"/>
        <v>0</v>
      </c>
      <c r="O58" s="35">
        <v>0</v>
      </c>
    </row>
    <row r="59" spans="1:97" s="267" customFormat="1" ht="11.25" customHeight="1">
      <c r="B59" s="137" t="s">
        <v>573</v>
      </c>
      <c r="C59" s="283"/>
      <c r="D59" s="137"/>
      <c r="E59" s="281"/>
      <c r="F59" s="281"/>
      <c r="G59" s="281">
        <f ca="1">F61</f>
        <v>0</v>
      </c>
      <c r="H59" s="281">
        <f ca="1">H111</f>
        <v>0</v>
      </c>
      <c r="I59" s="281">
        <f t="shared" ref="I59:L59" ca="1" si="28">I111</f>
        <v>0</v>
      </c>
      <c r="J59" s="281">
        <f t="shared" ca="1" si="28"/>
        <v>0</v>
      </c>
      <c r="K59" s="281">
        <f t="shared" ca="1" si="28"/>
        <v>0</v>
      </c>
      <c r="L59" s="281">
        <f t="shared" ca="1" si="28"/>
        <v>0</v>
      </c>
      <c r="N59" s="61">
        <f t="shared" si="1"/>
        <v>1</v>
      </c>
      <c r="O59" s="35">
        <v>1</v>
      </c>
    </row>
    <row r="60" spans="1:97" s="267" customFormat="1" ht="11.25" customHeight="1">
      <c r="B60" s="268" t="s">
        <v>574</v>
      </c>
      <c r="C60" s="291"/>
      <c r="D60" s="268"/>
      <c r="E60" s="321"/>
      <c r="F60" s="321"/>
      <c r="G60" s="321">
        <f ca="1">G112</f>
        <v>0</v>
      </c>
      <c r="H60" s="321">
        <f t="shared" ref="H60:L60" ca="1" si="29">H112</f>
        <v>0</v>
      </c>
      <c r="I60" s="321">
        <f t="shared" ca="1" si="29"/>
        <v>0</v>
      </c>
      <c r="J60" s="321">
        <f t="shared" ca="1" si="29"/>
        <v>0</v>
      </c>
      <c r="K60" s="321">
        <f t="shared" ca="1" si="29"/>
        <v>0</v>
      </c>
      <c r="L60" s="321">
        <f t="shared" ca="1" si="29"/>
        <v>0</v>
      </c>
      <c r="N60" s="61">
        <f t="shared" si="1"/>
        <v>1</v>
      </c>
      <c r="O60" s="35">
        <v>1</v>
      </c>
    </row>
    <row r="61" spans="1:97" s="267" customFormat="1" ht="11.25" customHeight="1">
      <c r="B61" s="268" t="s">
        <v>575</v>
      </c>
      <c r="C61" s="291"/>
      <c r="D61" s="268"/>
      <c r="E61" s="321"/>
      <c r="F61" s="321">
        <f ca="1">F113</f>
        <v>0</v>
      </c>
      <c r="G61" s="321">
        <f ca="1">SUM(G59:G60)</f>
        <v>0</v>
      </c>
      <c r="H61" s="321">
        <f t="shared" ref="H61:L61" ca="1" si="30">SUM(H59:H60)</f>
        <v>0</v>
      </c>
      <c r="I61" s="321">
        <f t="shared" ca="1" si="30"/>
        <v>0</v>
      </c>
      <c r="J61" s="321">
        <f t="shared" ca="1" si="30"/>
        <v>0</v>
      </c>
      <c r="K61" s="321">
        <f t="shared" ca="1" si="30"/>
        <v>0</v>
      </c>
      <c r="L61" s="321">
        <f t="shared" ca="1" si="30"/>
        <v>0</v>
      </c>
      <c r="N61" s="61">
        <f t="shared" si="1"/>
        <v>1</v>
      </c>
      <c r="O61" s="35">
        <v>1</v>
      </c>
    </row>
    <row r="62" spans="1:97" s="58" customFormat="1" ht="11.25" customHeight="1">
      <c r="A62" s="279"/>
      <c r="B62" s="591"/>
      <c r="C62" s="230"/>
      <c r="D62" s="62"/>
      <c r="E62" s="62"/>
      <c r="F62" s="54"/>
      <c r="G62" s="62"/>
      <c r="H62" s="62"/>
      <c r="I62" s="62"/>
      <c r="J62" s="62"/>
      <c r="K62" s="62"/>
      <c r="L62" s="62"/>
      <c r="M62" s="62"/>
      <c r="N62" s="61">
        <f t="shared" si="1"/>
        <v>0</v>
      </c>
      <c r="O62" s="35">
        <v>0</v>
      </c>
      <c r="P62" s="492"/>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row>
    <row r="63" spans="1:97" s="58" customFormat="1" ht="12.45" customHeight="1">
      <c r="A63" s="279"/>
      <c r="B63" s="762" t="s">
        <v>561</v>
      </c>
      <c r="C63" s="762"/>
      <c r="D63" s="763"/>
      <c r="E63" s="763"/>
      <c r="F63" s="763"/>
      <c r="G63" s="762"/>
      <c r="H63" s="762"/>
      <c r="I63" s="763"/>
      <c r="J63" s="763"/>
      <c r="K63" s="763"/>
      <c r="L63" s="763"/>
      <c r="M63" s="62"/>
      <c r="N63" s="61">
        <f t="shared" si="1"/>
        <v>1</v>
      </c>
      <c r="O63" s="35">
        <v>1</v>
      </c>
      <c r="P63" s="492"/>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row>
    <row r="64" spans="1:97" s="58" customFormat="1" ht="11.25" customHeight="1">
      <c r="A64" s="279"/>
      <c r="B64" s="591"/>
      <c r="C64" s="230"/>
      <c r="D64" s="62"/>
      <c r="E64" s="62"/>
      <c r="F64" s="54"/>
      <c r="G64" s="471" t="s">
        <v>415</v>
      </c>
      <c r="H64" s="471"/>
      <c r="I64" s="471"/>
      <c r="J64" s="471"/>
      <c r="K64" s="471"/>
      <c r="L64" s="471"/>
      <c r="M64" s="62"/>
      <c r="N64" s="61">
        <f t="shared" si="1"/>
        <v>0</v>
      </c>
      <c r="O64" s="35">
        <v>0</v>
      </c>
      <c r="P64" s="492"/>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row>
    <row r="65" spans="1:15" ht="13.8" thickBot="1">
      <c r="A65" s="24"/>
      <c r="B65" s="470"/>
      <c r="C65" s="559"/>
      <c r="D65" s="470"/>
      <c r="E65" s="683"/>
      <c r="F65" s="470">
        <f t="shared" ref="F65:L65" si="31">F94</f>
        <v>2019</v>
      </c>
      <c r="G65" s="470">
        <f t="shared" si="31"/>
        <v>2020</v>
      </c>
      <c r="H65" s="470">
        <f t="shared" si="31"/>
        <v>2021</v>
      </c>
      <c r="I65" s="470">
        <f t="shared" si="31"/>
        <v>2022</v>
      </c>
      <c r="J65" s="470">
        <f t="shared" si="31"/>
        <v>2023</v>
      </c>
      <c r="K65" s="470">
        <f t="shared" si="31"/>
        <v>2024</v>
      </c>
      <c r="L65" s="470">
        <f t="shared" si="31"/>
        <v>2025</v>
      </c>
      <c r="N65" s="61">
        <f t="shared" si="1"/>
        <v>0</v>
      </c>
      <c r="O65" s="35">
        <v>0</v>
      </c>
    </row>
    <row r="66" spans="1:15">
      <c r="B66" s="466" t="s">
        <v>526</v>
      </c>
      <c r="E66" s="686" t="s">
        <v>486</v>
      </c>
      <c r="N66" s="61">
        <f t="shared" si="1"/>
        <v>1</v>
      </c>
      <c r="O66" s="35">
        <v>1</v>
      </c>
    </row>
    <row r="67" spans="1:15" s="137" customFormat="1" ht="11.25" customHeight="1">
      <c r="B67" s="137" t="s">
        <v>530</v>
      </c>
      <c r="C67" s="283"/>
      <c r="E67" s="685">
        <v>1</v>
      </c>
      <c r="F67" s="682"/>
      <c r="G67" s="682">
        <v>0.01</v>
      </c>
      <c r="H67" s="682">
        <v>0.01</v>
      </c>
      <c r="I67" s="682">
        <v>0.01</v>
      </c>
      <c r="J67" s="682">
        <v>0.01</v>
      </c>
      <c r="K67" s="682">
        <v>0.01</v>
      </c>
      <c r="L67" s="682">
        <v>0.01</v>
      </c>
      <c r="N67" s="61">
        <f t="shared" si="1"/>
        <v>1</v>
      </c>
      <c r="O67" s="35">
        <v>1</v>
      </c>
    </row>
    <row r="68" spans="1:15" s="137" customFormat="1" ht="11.25" customHeight="1">
      <c r="B68" s="137" t="s">
        <v>531</v>
      </c>
      <c r="C68" s="283"/>
      <c r="E68" s="580">
        <v>2</v>
      </c>
      <c r="F68" s="682"/>
      <c r="G68" s="682">
        <v>0.03</v>
      </c>
      <c r="H68" s="682">
        <v>0.03</v>
      </c>
      <c r="I68" s="682">
        <v>0.03</v>
      </c>
      <c r="J68" s="682">
        <v>0.03</v>
      </c>
      <c r="K68" s="682">
        <v>0.03</v>
      </c>
      <c r="L68" s="682">
        <v>0.03</v>
      </c>
      <c r="N68" s="61">
        <f t="shared" si="1"/>
        <v>1</v>
      </c>
      <c r="O68" s="35">
        <v>1</v>
      </c>
    </row>
    <row r="69" spans="1:15" s="267" customFormat="1" ht="11.25" customHeight="1">
      <c r="B69" s="478" t="s">
        <v>526</v>
      </c>
      <c r="C69" s="605"/>
      <c r="D69" s="478" t="s">
        <v>525</v>
      </c>
      <c r="E69" s="681">
        <f ca="1">'LBO - Assumptions'!D24</f>
        <v>0</v>
      </c>
      <c r="F69" s="684"/>
      <c r="G69" s="684">
        <f t="shared" ref="G69:L69" ca="1" si="32">OFFSET(G66,$E$69,0)</f>
        <v>0</v>
      </c>
      <c r="H69" s="684">
        <f t="shared" ca="1" si="32"/>
        <v>0</v>
      </c>
      <c r="I69" s="684">
        <f t="shared" ca="1" si="32"/>
        <v>0</v>
      </c>
      <c r="J69" s="684">
        <f t="shared" ca="1" si="32"/>
        <v>0</v>
      </c>
      <c r="K69" s="684">
        <f t="shared" ca="1" si="32"/>
        <v>0</v>
      </c>
      <c r="L69" s="684">
        <f t="shared" ca="1" si="32"/>
        <v>0</v>
      </c>
      <c r="N69" s="61">
        <f t="shared" si="1"/>
        <v>1</v>
      </c>
      <c r="O69" s="35">
        <v>1</v>
      </c>
    </row>
    <row r="70" spans="1:15" s="137" customFormat="1" ht="11.25" customHeight="1">
      <c r="C70" s="283"/>
      <c r="F70" s="612"/>
      <c r="G70" s="612"/>
      <c r="H70" s="612"/>
      <c r="I70" s="612"/>
      <c r="J70" s="612"/>
      <c r="K70" s="612"/>
      <c r="L70" s="612"/>
      <c r="N70" s="61">
        <f t="shared" si="1"/>
        <v>0</v>
      </c>
      <c r="O70" s="35">
        <v>0</v>
      </c>
    </row>
    <row r="71" spans="1:15" s="267" customFormat="1" ht="11.25" customHeight="1">
      <c r="B71" s="137" t="s">
        <v>533</v>
      </c>
      <c r="C71" s="603"/>
      <c r="D71" s="335"/>
      <c r="E71" s="611"/>
      <c r="F71" s="281"/>
      <c r="G71" s="281">
        <f>'DCF - Financials'!L12</f>
        <v>0</v>
      </c>
      <c r="H71" s="281">
        <f>'DCF - Financials'!M12</f>
        <v>0</v>
      </c>
      <c r="I71" s="281">
        <f>'DCF - Financials'!N12</f>
        <v>0</v>
      </c>
      <c r="J71" s="281">
        <f>'DCF - Financials'!O12</f>
        <v>0</v>
      </c>
      <c r="K71" s="281">
        <f>'DCF - Financials'!P12</f>
        <v>0</v>
      </c>
      <c r="L71" s="281">
        <f>'DCF - Financials'!Q12</f>
        <v>0</v>
      </c>
      <c r="N71" s="61">
        <f t="shared" si="1"/>
        <v>1</v>
      </c>
      <c r="O71" s="35">
        <v>1</v>
      </c>
    </row>
    <row r="72" spans="1:15" s="267" customFormat="1" ht="11.25" customHeight="1">
      <c r="B72" s="137" t="s">
        <v>527</v>
      </c>
      <c r="C72" s="603"/>
      <c r="D72" s="703" t="s">
        <v>582</v>
      </c>
      <c r="E72" s="704" t="e">
        <f ca="1">SUM(G72:L72)/SUM(G71:L71)</f>
        <v>#DIV/0!</v>
      </c>
      <c r="F72" s="281"/>
      <c r="G72" s="281">
        <f t="shared" ref="G72:L72" ca="1" si="33">G71*G69</f>
        <v>0</v>
      </c>
      <c r="H72" s="281">
        <f t="shared" ca="1" si="33"/>
        <v>0</v>
      </c>
      <c r="I72" s="281">
        <f t="shared" ca="1" si="33"/>
        <v>0</v>
      </c>
      <c r="J72" s="281">
        <f t="shared" ca="1" si="33"/>
        <v>0</v>
      </c>
      <c r="K72" s="281">
        <f t="shared" ca="1" si="33"/>
        <v>0</v>
      </c>
      <c r="L72" s="281">
        <f t="shared" ca="1" si="33"/>
        <v>0</v>
      </c>
      <c r="N72" s="61">
        <f t="shared" ref="N72:N135" si="34">IF(NOT(ISBLANK(B72)), 1, 0)</f>
        <v>1</v>
      </c>
      <c r="O72" s="35">
        <v>1</v>
      </c>
    </row>
    <row r="73" spans="1:15" s="267" customFormat="1" ht="11.25" customHeight="1">
      <c r="B73" s="687" t="s">
        <v>528</v>
      </c>
      <c r="C73" s="688"/>
      <c r="D73" s="687"/>
      <c r="E73" s="689"/>
      <c r="F73" s="302"/>
      <c r="G73" s="302">
        <f t="shared" ref="G73:L73" ca="1" si="35">SUM(G71:G72)</f>
        <v>0</v>
      </c>
      <c r="H73" s="302">
        <f t="shared" ca="1" si="35"/>
        <v>0</v>
      </c>
      <c r="I73" s="302">
        <f t="shared" ca="1" si="35"/>
        <v>0</v>
      </c>
      <c r="J73" s="302">
        <f t="shared" ca="1" si="35"/>
        <v>0</v>
      </c>
      <c r="K73" s="302">
        <f t="shared" ca="1" si="35"/>
        <v>0</v>
      </c>
      <c r="L73" s="302">
        <f t="shared" ca="1" si="35"/>
        <v>0</v>
      </c>
      <c r="N73" s="61">
        <f t="shared" si="34"/>
        <v>1</v>
      </c>
      <c r="O73" s="35">
        <v>1</v>
      </c>
    </row>
    <row r="74" spans="1:15" s="489" customFormat="1" ht="11.25" customHeight="1">
      <c r="B74" s="616" t="s">
        <v>414</v>
      </c>
      <c r="C74" s="563"/>
      <c r="E74" s="562"/>
      <c r="F74" s="615"/>
      <c r="G74" s="614"/>
      <c r="H74" s="614">
        <f ca="1">IFERROR(H73/G73-1,0)</f>
        <v>0</v>
      </c>
      <c r="I74" s="614">
        <f t="shared" ref="I74:L74" ca="1" si="36">IFERROR(I73/H73-1,0)</f>
        <v>0</v>
      </c>
      <c r="J74" s="614">
        <f t="shared" ca="1" si="36"/>
        <v>0</v>
      </c>
      <c r="K74" s="614">
        <f t="shared" ca="1" si="36"/>
        <v>0</v>
      </c>
      <c r="L74" s="614">
        <f t="shared" ca="1" si="36"/>
        <v>0</v>
      </c>
      <c r="N74" s="61">
        <f t="shared" si="34"/>
        <v>1</v>
      </c>
      <c r="O74" s="35">
        <v>1</v>
      </c>
    </row>
    <row r="75" spans="1:15" s="267" customFormat="1" ht="11.25" customHeight="1">
      <c r="B75" s="24"/>
      <c r="C75" s="553"/>
      <c r="E75" s="281"/>
      <c r="F75" s="280"/>
      <c r="G75" s="280"/>
      <c r="H75" s="280"/>
      <c r="I75" s="280"/>
      <c r="J75" s="280"/>
      <c r="K75" s="280"/>
      <c r="L75" s="280"/>
      <c r="N75" s="61">
        <f t="shared" si="34"/>
        <v>0</v>
      </c>
      <c r="O75" s="35">
        <v>0</v>
      </c>
    </row>
    <row r="76" spans="1:15" s="267" customFormat="1" ht="11.25" customHeight="1">
      <c r="B76" s="306" t="s">
        <v>529</v>
      </c>
      <c r="C76" s="553"/>
      <c r="E76" s="281"/>
      <c r="F76" s="280"/>
      <c r="G76" s="280"/>
      <c r="H76" s="280"/>
      <c r="I76" s="280"/>
      <c r="J76" s="280"/>
      <c r="K76" s="280"/>
      <c r="L76" s="280"/>
      <c r="N76" s="61">
        <f t="shared" si="34"/>
        <v>1</v>
      </c>
      <c r="O76" s="35">
        <v>1</v>
      </c>
    </row>
    <row r="77" spans="1:15" s="137" customFormat="1" ht="11.25" customHeight="1">
      <c r="B77" s="137" t="s">
        <v>537</v>
      </c>
      <c r="C77" s="283"/>
      <c r="E77" s="685">
        <v>1</v>
      </c>
      <c r="F77" s="682"/>
      <c r="G77" s="682">
        <v>3.0000000000000001E-3</v>
      </c>
      <c r="H77" s="682">
        <v>3.0000000000000001E-3</v>
      </c>
      <c r="I77" s="682">
        <v>3.0000000000000001E-3</v>
      </c>
      <c r="J77" s="682">
        <v>3.0000000000000001E-3</v>
      </c>
      <c r="K77" s="682">
        <v>3.0000000000000001E-3</v>
      </c>
      <c r="L77" s="682">
        <v>3.0000000000000001E-3</v>
      </c>
      <c r="N77" s="61">
        <f t="shared" si="34"/>
        <v>1</v>
      </c>
      <c r="O77" s="35">
        <v>1</v>
      </c>
    </row>
    <row r="78" spans="1:15" s="137" customFormat="1" ht="11.25" customHeight="1">
      <c r="B78" s="137" t="s">
        <v>538</v>
      </c>
      <c r="C78" s="283"/>
      <c r="E78" s="580">
        <v>2</v>
      </c>
      <c r="F78" s="682"/>
      <c r="G78" s="682">
        <v>0.01</v>
      </c>
      <c r="H78" s="682">
        <v>0.01</v>
      </c>
      <c r="I78" s="682">
        <v>0.01</v>
      </c>
      <c r="J78" s="682">
        <v>0.01</v>
      </c>
      <c r="K78" s="682">
        <v>0.01</v>
      </c>
      <c r="L78" s="682">
        <v>0.01</v>
      </c>
      <c r="N78" s="61">
        <f t="shared" si="34"/>
        <v>1</v>
      </c>
      <c r="O78" s="35">
        <v>1</v>
      </c>
    </row>
    <row r="79" spans="1:15" s="267" customFormat="1" ht="11.25" customHeight="1">
      <c r="B79" s="478" t="s">
        <v>532</v>
      </c>
      <c r="C79" s="605"/>
      <c r="D79" s="478" t="s">
        <v>525</v>
      </c>
      <c r="E79" s="681">
        <f ca="1">'LBO - Assumptions'!D25</f>
        <v>0</v>
      </c>
      <c r="F79" s="684"/>
      <c r="G79" s="684">
        <f t="shared" ref="G79:L79" ca="1" si="37">OFFSET(G76,$E$79,0)</f>
        <v>0</v>
      </c>
      <c r="H79" s="684">
        <f t="shared" ca="1" si="37"/>
        <v>0</v>
      </c>
      <c r="I79" s="684">
        <f t="shared" ca="1" si="37"/>
        <v>0</v>
      </c>
      <c r="J79" s="684">
        <f t="shared" ca="1" si="37"/>
        <v>0</v>
      </c>
      <c r="K79" s="684">
        <f t="shared" ca="1" si="37"/>
        <v>0</v>
      </c>
      <c r="L79" s="684">
        <f t="shared" ca="1" si="37"/>
        <v>0</v>
      </c>
      <c r="N79" s="61">
        <f t="shared" si="34"/>
        <v>1</v>
      </c>
      <c r="O79" s="35">
        <v>1</v>
      </c>
    </row>
    <row r="80" spans="1:15" s="267" customFormat="1" ht="11.25" customHeight="1">
      <c r="B80" s="24"/>
      <c r="C80" s="553"/>
      <c r="E80" s="281"/>
      <c r="F80" s="280"/>
      <c r="G80" s="280"/>
      <c r="H80" s="280"/>
      <c r="I80" s="280"/>
      <c r="J80" s="280"/>
      <c r="K80" s="280"/>
      <c r="L80" s="280"/>
      <c r="N80" s="61">
        <f t="shared" si="34"/>
        <v>0</v>
      </c>
      <c r="O80" s="35">
        <v>0</v>
      </c>
    </row>
    <row r="81" spans="1:15" s="267" customFormat="1" ht="11.25" customHeight="1">
      <c r="B81" s="24" t="s">
        <v>534</v>
      </c>
      <c r="C81" s="553"/>
      <c r="F81" s="490"/>
      <c r="G81" s="490">
        <f>'DCF - Summary'!L55</f>
        <v>0</v>
      </c>
      <c r="H81" s="490">
        <f>'DCF - Summary'!M55</f>
        <v>0</v>
      </c>
      <c r="I81" s="490">
        <f>'DCF - Summary'!N55</f>
        <v>0</v>
      </c>
      <c r="J81" s="490">
        <f>'DCF - Summary'!O55</f>
        <v>0</v>
      </c>
      <c r="K81" s="490">
        <f>'DCF - Summary'!P55</f>
        <v>0</v>
      </c>
      <c r="L81" s="490">
        <f>'DCF - Summary'!Q55</f>
        <v>0</v>
      </c>
      <c r="N81" s="61">
        <f t="shared" si="34"/>
        <v>1</v>
      </c>
      <c r="O81" s="35">
        <v>1</v>
      </c>
    </row>
    <row r="82" spans="1:15" s="267" customFormat="1" ht="11.25" customHeight="1">
      <c r="B82" s="24" t="s">
        <v>536</v>
      </c>
      <c r="C82" s="553"/>
      <c r="D82" s="705" t="s">
        <v>582</v>
      </c>
      <c r="E82" s="704">
        <f ca="1">AVERAGE(G82:L82)</f>
        <v>0</v>
      </c>
      <c r="F82" s="509"/>
      <c r="G82" s="509">
        <f t="shared" ref="G82:L82" ca="1" si="38">G79</f>
        <v>0</v>
      </c>
      <c r="H82" s="509">
        <f t="shared" ca="1" si="38"/>
        <v>0</v>
      </c>
      <c r="I82" s="509">
        <f t="shared" ca="1" si="38"/>
        <v>0</v>
      </c>
      <c r="J82" s="509">
        <f t="shared" ca="1" si="38"/>
        <v>0</v>
      </c>
      <c r="K82" s="509">
        <f t="shared" ca="1" si="38"/>
        <v>0</v>
      </c>
      <c r="L82" s="509">
        <f t="shared" ca="1" si="38"/>
        <v>0</v>
      </c>
      <c r="N82" s="61">
        <f t="shared" si="34"/>
        <v>1</v>
      </c>
      <c r="O82" s="35">
        <v>1</v>
      </c>
    </row>
    <row r="83" spans="1:15" s="267" customFormat="1" ht="11.25" customHeight="1">
      <c r="B83" s="687" t="s">
        <v>535</v>
      </c>
      <c r="C83" s="688"/>
      <c r="D83" s="687"/>
      <c r="E83" s="302"/>
      <c r="F83" s="690"/>
      <c r="G83" s="690">
        <f t="shared" ref="G83:L83" ca="1" si="39">SUM(G81:G82)</f>
        <v>0</v>
      </c>
      <c r="H83" s="690">
        <f t="shared" ca="1" si="39"/>
        <v>0</v>
      </c>
      <c r="I83" s="690">
        <f t="shared" ca="1" si="39"/>
        <v>0</v>
      </c>
      <c r="J83" s="690">
        <f t="shared" ca="1" si="39"/>
        <v>0</v>
      </c>
      <c r="K83" s="690">
        <f t="shared" ca="1" si="39"/>
        <v>0</v>
      </c>
      <c r="L83" s="690">
        <f t="shared" ca="1" si="39"/>
        <v>0</v>
      </c>
      <c r="N83" s="61">
        <f t="shared" si="34"/>
        <v>1</v>
      </c>
      <c r="O83" s="35">
        <v>1</v>
      </c>
    </row>
    <row r="84" spans="1:15" s="267" customFormat="1" ht="11.25" customHeight="1">
      <c r="B84" s="24"/>
      <c r="C84" s="553"/>
      <c r="E84" s="613"/>
      <c r="F84" s="612"/>
      <c r="G84" s="612"/>
      <c r="H84" s="612"/>
      <c r="I84" s="612"/>
      <c r="J84" s="612"/>
      <c r="K84" s="612"/>
      <c r="L84" s="612"/>
      <c r="N84" s="61">
        <f t="shared" si="34"/>
        <v>0</v>
      </c>
      <c r="O84" s="35">
        <v>0</v>
      </c>
    </row>
    <row r="85" spans="1:15" s="267" customFormat="1" ht="11.25" customHeight="1">
      <c r="B85" s="24" t="s">
        <v>539</v>
      </c>
      <c r="C85" s="553"/>
      <c r="E85" s="613"/>
      <c r="F85" s="281"/>
      <c r="G85" s="281">
        <f>'DCF - Financials'!L35</f>
        <v>0</v>
      </c>
      <c r="H85" s="281">
        <f>'DCF - Financials'!M35</f>
        <v>0</v>
      </c>
      <c r="I85" s="281">
        <f>'DCF - Financials'!N35</f>
        <v>0</v>
      </c>
      <c r="J85" s="281">
        <f>'DCF - Financials'!O35</f>
        <v>0</v>
      </c>
      <c r="K85" s="281">
        <f>'DCF - Financials'!P35</f>
        <v>0</v>
      </c>
      <c r="L85" s="281">
        <f>'DCF - Financials'!Q35</f>
        <v>0</v>
      </c>
      <c r="N85" s="61">
        <f t="shared" si="34"/>
        <v>1</v>
      </c>
      <c r="O85" s="35">
        <v>1</v>
      </c>
    </row>
    <row r="86" spans="1:15" s="267" customFormat="1" ht="11.25" customHeight="1">
      <c r="B86" s="24" t="s">
        <v>541</v>
      </c>
      <c r="C86" s="553"/>
      <c r="E86" s="613"/>
      <c r="F86" s="281"/>
      <c r="G86" s="281">
        <f t="shared" ref="G86:L86" ca="1" si="40">G72*G81</f>
        <v>0</v>
      </c>
      <c r="H86" s="281">
        <f t="shared" ca="1" si="40"/>
        <v>0</v>
      </c>
      <c r="I86" s="281">
        <f t="shared" ca="1" si="40"/>
        <v>0</v>
      </c>
      <c r="J86" s="281">
        <f t="shared" ca="1" si="40"/>
        <v>0</v>
      </c>
      <c r="K86" s="281">
        <f t="shared" ca="1" si="40"/>
        <v>0</v>
      </c>
      <c r="L86" s="281">
        <f t="shared" ca="1" si="40"/>
        <v>0</v>
      </c>
      <c r="N86" s="61">
        <f t="shared" si="34"/>
        <v>1</v>
      </c>
      <c r="O86" s="35">
        <v>1</v>
      </c>
    </row>
    <row r="87" spans="1:15" s="267" customFormat="1" ht="11.25" customHeight="1">
      <c r="B87" s="24" t="s">
        <v>542</v>
      </c>
      <c r="C87" s="553"/>
      <c r="D87" s="553"/>
      <c r="E87" s="553"/>
      <c r="F87" s="281"/>
      <c r="G87" s="281">
        <f t="shared" ref="G87:L87" ca="1" si="41">G88-G85-G86</f>
        <v>0</v>
      </c>
      <c r="H87" s="281">
        <f t="shared" ca="1" si="41"/>
        <v>0</v>
      </c>
      <c r="I87" s="281">
        <f t="shared" ca="1" si="41"/>
        <v>0</v>
      </c>
      <c r="J87" s="281">
        <f t="shared" ca="1" si="41"/>
        <v>0</v>
      </c>
      <c r="K87" s="281">
        <f t="shared" ca="1" si="41"/>
        <v>0</v>
      </c>
      <c r="L87" s="281">
        <f t="shared" ca="1" si="41"/>
        <v>0</v>
      </c>
      <c r="N87" s="61">
        <f t="shared" si="34"/>
        <v>1</v>
      </c>
      <c r="O87" s="35">
        <v>1</v>
      </c>
    </row>
    <row r="88" spans="1:15" s="466" customFormat="1" ht="11.25" customHeight="1">
      <c r="B88" s="687" t="s">
        <v>540</v>
      </c>
      <c r="C88" s="688"/>
      <c r="D88" s="687"/>
      <c r="E88" s="687"/>
      <c r="F88" s="302"/>
      <c r="G88" s="302">
        <f t="shared" ref="G88:L88" ca="1" si="42">G73*G83</f>
        <v>0</v>
      </c>
      <c r="H88" s="302">
        <f t="shared" ca="1" si="42"/>
        <v>0</v>
      </c>
      <c r="I88" s="302">
        <f t="shared" ca="1" si="42"/>
        <v>0</v>
      </c>
      <c r="J88" s="302">
        <f t="shared" ca="1" si="42"/>
        <v>0</v>
      </c>
      <c r="K88" s="302">
        <f t="shared" ca="1" si="42"/>
        <v>0</v>
      </c>
      <c r="L88" s="302">
        <f t="shared" ca="1" si="42"/>
        <v>0</v>
      </c>
      <c r="N88" s="61">
        <f t="shared" si="34"/>
        <v>1</v>
      </c>
      <c r="O88" s="35">
        <v>1</v>
      </c>
    </row>
    <row r="89" spans="1:15" s="466" customFormat="1" ht="11.25" customHeight="1">
      <c r="B89" s="137" t="s">
        <v>581</v>
      </c>
      <c r="C89" s="603"/>
      <c r="D89" s="335"/>
      <c r="E89" s="611"/>
      <c r="F89" s="281"/>
      <c r="G89" s="281">
        <f t="shared" ref="G89:L89" ca="1" si="43">SUM(G86:G87)</f>
        <v>0</v>
      </c>
      <c r="H89" s="281">
        <f t="shared" ca="1" si="43"/>
        <v>0</v>
      </c>
      <c r="I89" s="281">
        <f t="shared" ca="1" si="43"/>
        <v>0</v>
      </c>
      <c r="J89" s="281">
        <f t="shared" ca="1" si="43"/>
        <v>0</v>
      </c>
      <c r="K89" s="281">
        <f t="shared" ca="1" si="43"/>
        <v>0</v>
      </c>
      <c r="L89" s="281">
        <f t="shared" ca="1" si="43"/>
        <v>0</v>
      </c>
      <c r="N89" s="61">
        <f t="shared" si="34"/>
        <v>1</v>
      </c>
      <c r="O89" s="35">
        <v>1</v>
      </c>
    </row>
    <row r="90" spans="1:15" s="466" customFormat="1" ht="11.25" customHeight="1">
      <c r="B90" s="335"/>
      <c r="C90" s="603"/>
      <c r="D90" s="335"/>
      <c r="E90" s="611"/>
      <c r="F90" s="333"/>
      <c r="G90" s="333"/>
      <c r="H90" s="333"/>
      <c r="I90" s="333"/>
      <c r="J90" s="333"/>
      <c r="K90" s="333"/>
      <c r="L90" s="333"/>
      <c r="N90" s="61">
        <f t="shared" si="34"/>
        <v>0</v>
      </c>
      <c r="O90" s="35">
        <v>0</v>
      </c>
    </row>
    <row r="91" spans="1:15" ht="11.25" customHeight="1">
      <c r="D91" s="594"/>
      <c r="E91" s="593"/>
      <c r="F91" s="592"/>
      <c r="G91" s="592"/>
      <c r="H91" s="592"/>
      <c r="I91" s="592"/>
      <c r="J91" s="592"/>
      <c r="K91" s="592"/>
      <c r="L91" s="592"/>
      <c r="N91" s="61">
        <f t="shared" si="34"/>
        <v>0</v>
      </c>
      <c r="O91" s="35">
        <v>0</v>
      </c>
    </row>
    <row r="92" spans="1:15" s="267" customFormat="1" ht="12.45" customHeight="1">
      <c r="B92" s="762" t="s">
        <v>499</v>
      </c>
      <c r="C92" s="762"/>
      <c r="D92" s="763"/>
      <c r="E92" s="763"/>
      <c r="F92" s="763"/>
      <c r="G92" s="762"/>
      <c r="H92" s="762"/>
      <c r="I92" s="763"/>
      <c r="J92" s="763"/>
      <c r="K92" s="763"/>
      <c r="L92" s="763"/>
      <c r="N92" s="61">
        <f t="shared" si="34"/>
        <v>1</v>
      </c>
      <c r="O92" s="35">
        <v>1</v>
      </c>
    </row>
    <row r="93" spans="1:15" ht="13.2" customHeight="1">
      <c r="A93" s="242"/>
      <c r="B93" s="242"/>
      <c r="C93" s="579"/>
      <c r="D93" s="242"/>
      <c r="E93" s="29"/>
      <c r="F93" s="54"/>
      <c r="G93" s="471" t="s">
        <v>415</v>
      </c>
      <c r="H93" s="471"/>
      <c r="I93" s="471"/>
      <c r="J93" s="471"/>
      <c r="K93" s="471"/>
      <c r="L93" s="471"/>
      <c r="N93" s="61">
        <f t="shared" si="34"/>
        <v>0</v>
      </c>
      <c r="O93" s="35">
        <v>0</v>
      </c>
    </row>
    <row r="94" spans="1:15" ht="13.8" thickBot="1">
      <c r="A94" s="24"/>
      <c r="B94" s="470"/>
      <c r="C94" s="559"/>
      <c r="D94" s="470"/>
      <c r="E94" s="470"/>
      <c r="F94" s="470">
        <f>'LBO - Summary'!I49</f>
        <v>2019</v>
      </c>
      <c r="G94" s="470">
        <f>'LBO - Summary'!J49</f>
        <v>2020</v>
      </c>
      <c r="H94" s="470">
        <f>'LBO - Summary'!K49</f>
        <v>2021</v>
      </c>
      <c r="I94" s="470">
        <f>'LBO - Summary'!L49</f>
        <v>2022</v>
      </c>
      <c r="J94" s="470">
        <f>'LBO - Summary'!M49</f>
        <v>2023</v>
      </c>
      <c r="K94" s="470">
        <f>'LBO - Summary'!N49</f>
        <v>2024</v>
      </c>
      <c r="L94" s="470">
        <f>'LBO - Summary'!O49</f>
        <v>2025</v>
      </c>
      <c r="N94" s="61">
        <f t="shared" si="34"/>
        <v>0</v>
      </c>
      <c r="O94" s="35">
        <v>0</v>
      </c>
    </row>
    <row r="95" spans="1:15" ht="11.25" customHeight="1">
      <c r="B95" s="466" t="str">
        <f>'LBO - Assumptions'!B50</f>
        <v>Junior Debt</v>
      </c>
      <c r="C95" s="553"/>
      <c r="D95" s="267"/>
      <c r="E95" s="137"/>
      <c r="F95" s="578"/>
      <c r="G95" s="578"/>
      <c r="H95" s="578"/>
      <c r="I95" s="578"/>
      <c r="J95" s="578"/>
      <c r="K95" s="578"/>
      <c r="L95" s="578"/>
      <c r="M95" s="220"/>
      <c r="N95" s="61">
        <f t="shared" si="34"/>
        <v>1</v>
      </c>
      <c r="O95" s="35">
        <v>1</v>
      </c>
    </row>
    <row r="96" spans="1:15" ht="11.25" customHeight="1">
      <c r="B96" s="464" t="s">
        <v>498</v>
      </c>
      <c r="C96" s="577"/>
      <c r="D96" s="576" t="str">
        <f>'LBO - Assumptions'!B50</f>
        <v>Junior Debt</v>
      </c>
      <c r="E96" s="575"/>
      <c r="F96" s="575"/>
      <c r="G96" s="575">
        <f ca="1">F98</f>
        <v>0</v>
      </c>
      <c r="H96" s="575">
        <f ca="1">G98</f>
        <v>0</v>
      </c>
      <c r="I96" s="575">
        <f ca="1">H98</f>
        <v>0</v>
      </c>
      <c r="J96" s="575">
        <f ca="1">I98</f>
        <v>0</v>
      </c>
      <c r="K96" s="575">
        <f t="shared" ref="K96:L96" ca="1" si="44">J98</f>
        <v>0</v>
      </c>
      <c r="L96" s="575">
        <f t="shared" ca="1" si="44"/>
        <v>0</v>
      </c>
      <c r="M96" s="220"/>
      <c r="N96" s="61">
        <f t="shared" si="34"/>
        <v>1</v>
      </c>
      <c r="O96" s="35">
        <v>1</v>
      </c>
    </row>
    <row r="97" spans="2:15" ht="11.25" customHeight="1">
      <c r="B97" s="573" t="s">
        <v>497</v>
      </c>
      <c r="C97" s="574"/>
      <c r="D97" s="573"/>
      <c r="E97" s="573"/>
      <c r="F97" s="199"/>
      <c r="G97" s="199">
        <f t="shared" ref="G97:L97" ca="1" si="45">VLOOKUP($D96,$B$145:$L$158,G$167,FALSE)</f>
        <v>0</v>
      </c>
      <c r="H97" s="199">
        <f t="shared" ca="1" si="45"/>
        <v>0</v>
      </c>
      <c r="I97" s="199">
        <f t="shared" ca="1" si="45"/>
        <v>0</v>
      </c>
      <c r="J97" s="199">
        <f t="shared" ca="1" si="45"/>
        <v>0</v>
      </c>
      <c r="K97" s="199">
        <f t="shared" ca="1" si="45"/>
        <v>0</v>
      </c>
      <c r="L97" s="199">
        <f t="shared" ca="1" si="45"/>
        <v>0</v>
      </c>
      <c r="M97" s="220"/>
      <c r="N97" s="61">
        <f t="shared" si="34"/>
        <v>1</v>
      </c>
      <c r="O97" s="35">
        <v>1</v>
      </c>
    </row>
    <row r="98" spans="2:15" ht="11.25" customHeight="1">
      <c r="B98" s="137" t="s">
        <v>496</v>
      </c>
      <c r="C98" s="283"/>
      <c r="D98" s="137"/>
      <c r="E98" s="281"/>
      <c r="F98" s="207">
        <f ca="1">'LBO - Assumptions'!E50</f>
        <v>0</v>
      </c>
      <c r="G98" s="207">
        <f ca="1">G96+G97</f>
        <v>0</v>
      </c>
      <c r="H98" s="207">
        <f ca="1">H96+H97</f>
        <v>0</v>
      </c>
      <c r="I98" s="207">
        <f ca="1">I96+I97</f>
        <v>0</v>
      </c>
      <c r="J98" s="207">
        <f ca="1">J96+J97</f>
        <v>0</v>
      </c>
      <c r="K98" s="207">
        <f t="shared" ref="K98:L98" ca="1" si="46">K96+K97</f>
        <v>0</v>
      </c>
      <c r="L98" s="207">
        <f t="shared" ca="1" si="46"/>
        <v>0</v>
      </c>
      <c r="M98" s="220"/>
      <c r="N98" s="61">
        <f t="shared" si="34"/>
        <v>1</v>
      </c>
      <c r="O98" s="35">
        <v>1</v>
      </c>
    </row>
    <row r="99" spans="2:15" ht="11.25" customHeight="1">
      <c r="B99" s="137"/>
      <c r="C99" s="283"/>
      <c r="D99" s="137"/>
      <c r="E99" s="281"/>
      <c r="F99" s="199"/>
      <c r="G99" s="199"/>
      <c r="H99" s="199"/>
      <c r="I99" s="199"/>
      <c r="J99" s="199"/>
      <c r="K99" s="199"/>
      <c r="L99" s="199"/>
      <c r="M99" s="220"/>
      <c r="N99" s="61">
        <f t="shared" si="34"/>
        <v>0</v>
      </c>
      <c r="O99" s="35">
        <v>0</v>
      </c>
    </row>
    <row r="100" spans="2:15" ht="11.25" customHeight="1">
      <c r="B100" s="466" t="str">
        <f>'LBO - Assumptions'!B49</f>
        <v>Senior Debt</v>
      </c>
      <c r="C100" s="553"/>
      <c r="D100" s="267"/>
      <c r="E100" s="137"/>
      <c r="F100" s="578"/>
      <c r="G100" s="578"/>
      <c r="H100" s="578"/>
      <c r="I100" s="578"/>
      <c r="J100" s="578"/>
      <c r="K100" s="578"/>
      <c r="L100" s="578"/>
      <c r="M100" s="220"/>
      <c r="N100" s="61">
        <f t="shared" si="34"/>
        <v>1</v>
      </c>
      <c r="O100" s="35">
        <v>1</v>
      </c>
    </row>
    <row r="101" spans="2:15" ht="11.25" customHeight="1">
      <c r="B101" s="464" t="s">
        <v>498</v>
      </c>
      <c r="C101" s="577"/>
      <c r="D101" s="576" t="str">
        <f>'LBO - Assumptions'!B49</f>
        <v>Senior Debt</v>
      </c>
      <c r="E101" s="575"/>
      <c r="F101" s="575"/>
      <c r="G101" s="575">
        <f ca="1">F103</f>
        <v>0</v>
      </c>
      <c r="H101" s="575">
        <f ca="1">G103</f>
        <v>0</v>
      </c>
      <c r="I101" s="575">
        <f ca="1">H103</f>
        <v>0</v>
      </c>
      <c r="J101" s="575">
        <f ca="1">I103</f>
        <v>0</v>
      </c>
      <c r="K101" s="575">
        <f t="shared" ref="K101:L101" ca="1" si="47">J103</f>
        <v>0</v>
      </c>
      <c r="L101" s="575">
        <f t="shared" ca="1" si="47"/>
        <v>0</v>
      </c>
      <c r="M101" s="220"/>
      <c r="N101" s="61">
        <f t="shared" si="34"/>
        <v>1</v>
      </c>
      <c r="O101" s="35">
        <v>1</v>
      </c>
    </row>
    <row r="102" spans="2:15" ht="11.25" customHeight="1">
      <c r="B102" s="573" t="s">
        <v>497</v>
      </c>
      <c r="C102" s="574"/>
      <c r="D102" s="573"/>
      <c r="E102" s="573"/>
      <c r="F102" s="199"/>
      <c r="G102" s="199">
        <f ca="1">VLOOKUP($D101,$B$144:$L$158,G$167,FALSE)</f>
        <v>0</v>
      </c>
      <c r="H102" s="199">
        <f t="shared" ref="H102:L102" ca="1" si="48">VLOOKUP($D101,$B$144:$L$158,H$167,FALSE)</f>
        <v>0</v>
      </c>
      <c r="I102" s="199">
        <f t="shared" ca="1" si="48"/>
        <v>0</v>
      </c>
      <c r="J102" s="199">
        <f t="shared" ca="1" si="48"/>
        <v>0</v>
      </c>
      <c r="K102" s="199">
        <f t="shared" ca="1" si="48"/>
        <v>0</v>
      </c>
      <c r="L102" s="199">
        <f t="shared" ca="1" si="48"/>
        <v>0</v>
      </c>
      <c r="M102" s="220"/>
      <c r="N102" s="61">
        <f t="shared" si="34"/>
        <v>1</v>
      </c>
      <c r="O102" s="35">
        <v>1</v>
      </c>
    </row>
    <row r="103" spans="2:15" ht="11.25" customHeight="1">
      <c r="B103" s="137" t="s">
        <v>496</v>
      </c>
      <c r="C103" s="283"/>
      <c r="D103" s="137"/>
      <c r="E103" s="281"/>
      <c r="F103" s="207">
        <f ca="1">'LBO - Assumptions'!E49</f>
        <v>0</v>
      </c>
      <c r="G103" s="207">
        <f ca="1">G101+G102</f>
        <v>0</v>
      </c>
      <c r="H103" s="207">
        <f ca="1">H101+H102</f>
        <v>0</v>
      </c>
      <c r="I103" s="207">
        <f ca="1">I101+I102</f>
        <v>0</v>
      </c>
      <c r="J103" s="207">
        <f ca="1">J101+J102</f>
        <v>0</v>
      </c>
      <c r="K103" s="207">
        <f t="shared" ref="K103:L103" ca="1" si="49">K101+K102</f>
        <v>0</v>
      </c>
      <c r="L103" s="207">
        <f t="shared" ca="1" si="49"/>
        <v>0</v>
      </c>
      <c r="M103" s="220"/>
      <c r="N103" s="61">
        <f t="shared" si="34"/>
        <v>1</v>
      </c>
      <c r="O103" s="35">
        <v>1</v>
      </c>
    </row>
    <row r="104" spans="2:15" ht="11.25" customHeight="1">
      <c r="B104" s="137"/>
      <c r="C104" s="283"/>
      <c r="D104" s="137"/>
      <c r="E104" s="281"/>
      <c r="F104" s="199"/>
      <c r="G104" s="199"/>
      <c r="H104" s="199"/>
      <c r="I104" s="199"/>
      <c r="J104" s="199"/>
      <c r="K104" s="199"/>
      <c r="L104" s="199"/>
      <c r="M104" s="220"/>
      <c r="N104" s="61">
        <f t="shared" si="34"/>
        <v>0</v>
      </c>
      <c r="O104" s="35">
        <v>0</v>
      </c>
    </row>
    <row r="105" spans="2:15" ht="11.25" customHeight="1">
      <c r="B105" s="466" t="s">
        <v>385</v>
      </c>
      <c r="C105" s="553"/>
      <c r="D105" s="267"/>
      <c r="E105" s="137"/>
      <c r="F105" s="578"/>
      <c r="G105" s="578"/>
      <c r="H105" s="578"/>
      <c r="I105" s="578"/>
      <c r="J105" s="578"/>
      <c r="K105" s="578"/>
      <c r="L105" s="578"/>
      <c r="M105" s="58"/>
      <c r="N105" s="61">
        <f t="shared" si="34"/>
        <v>1</v>
      </c>
      <c r="O105" s="35">
        <v>1</v>
      </c>
    </row>
    <row r="106" spans="2:15" ht="11.25" customHeight="1">
      <c r="B106" s="464" t="s">
        <v>498</v>
      </c>
      <c r="C106" s="577"/>
      <c r="D106" s="576" t="str">
        <f>'LBO - Assumptions'!B51</f>
        <v>Revolver</v>
      </c>
      <c r="E106" s="575"/>
      <c r="F106" s="575"/>
      <c r="G106" s="575">
        <f ca="1">F108</f>
        <v>0</v>
      </c>
      <c r="H106" s="575">
        <f ca="1">G108</f>
        <v>0</v>
      </c>
      <c r="I106" s="575">
        <f ca="1">H108</f>
        <v>0</v>
      </c>
      <c r="J106" s="575">
        <f ca="1">I108</f>
        <v>0</v>
      </c>
      <c r="K106" s="575">
        <f t="shared" ref="K106:L106" ca="1" si="50">J108</f>
        <v>0</v>
      </c>
      <c r="L106" s="575">
        <f t="shared" ca="1" si="50"/>
        <v>0</v>
      </c>
      <c r="M106" s="220"/>
      <c r="N106" s="61">
        <f t="shared" si="34"/>
        <v>1</v>
      </c>
      <c r="O106" s="35">
        <v>1</v>
      </c>
    </row>
    <row r="107" spans="2:15" ht="11.25" customHeight="1">
      <c r="B107" s="573" t="s">
        <v>497</v>
      </c>
      <c r="C107" s="574"/>
      <c r="D107" s="573"/>
      <c r="E107" s="573"/>
      <c r="F107" s="199"/>
      <c r="G107" s="199">
        <f ca="1">VLOOKUP($D106,$B$144:$L$158,G$167,FALSE)</f>
        <v>0</v>
      </c>
      <c r="H107" s="199">
        <f t="shared" ref="H107:L107" ca="1" si="51">VLOOKUP($D106,$B$144:$L$158,H$167,FALSE)</f>
        <v>0</v>
      </c>
      <c r="I107" s="199">
        <f t="shared" ca="1" si="51"/>
        <v>0</v>
      </c>
      <c r="J107" s="199">
        <f t="shared" ca="1" si="51"/>
        <v>0</v>
      </c>
      <c r="K107" s="199">
        <f t="shared" ca="1" si="51"/>
        <v>0</v>
      </c>
      <c r="L107" s="199">
        <f t="shared" ca="1" si="51"/>
        <v>0</v>
      </c>
      <c r="M107" s="280"/>
      <c r="N107" s="61">
        <f t="shared" si="34"/>
        <v>1</v>
      </c>
      <c r="O107" s="35">
        <v>1</v>
      </c>
    </row>
    <row r="108" spans="2:15" ht="11.25" customHeight="1">
      <c r="B108" s="137" t="s">
        <v>496</v>
      </c>
      <c r="C108" s="283"/>
      <c r="D108" s="137"/>
      <c r="E108" s="281"/>
      <c r="F108" s="207">
        <f ca="1">'LBO - Assumptions'!E51</f>
        <v>0</v>
      </c>
      <c r="G108" s="207">
        <f ca="1">G106+G107</f>
        <v>0</v>
      </c>
      <c r="H108" s="207">
        <f ca="1">H106+H107</f>
        <v>0</v>
      </c>
      <c r="I108" s="207">
        <f ca="1">I106+I107</f>
        <v>0</v>
      </c>
      <c r="J108" s="207">
        <f ca="1">J106+J107</f>
        <v>0</v>
      </c>
      <c r="K108" s="207">
        <f t="shared" ref="K108:L108" ca="1" si="52">K106+K107</f>
        <v>0</v>
      </c>
      <c r="L108" s="207">
        <f t="shared" ca="1" si="52"/>
        <v>0</v>
      </c>
      <c r="M108" s="280"/>
      <c r="N108" s="61">
        <f t="shared" si="34"/>
        <v>1</v>
      </c>
      <c r="O108" s="35">
        <v>1</v>
      </c>
    </row>
    <row r="109" spans="2:15" ht="11.25" customHeight="1">
      <c r="B109" s="137"/>
      <c r="C109" s="283"/>
      <c r="D109" s="137"/>
      <c r="E109" s="281"/>
      <c r="F109" s="199"/>
      <c r="G109" s="199"/>
      <c r="H109" s="199"/>
      <c r="I109" s="199"/>
      <c r="J109" s="199"/>
      <c r="K109" s="199"/>
      <c r="L109" s="199"/>
      <c r="M109" s="280"/>
      <c r="N109" s="61">
        <f t="shared" si="34"/>
        <v>0</v>
      </c>
      <c r="O109" s="35">
        <v>0</v>
      </c>
    </row>
    <row r="110" spans="2:15" ht="11.25" customHeight="1">
      <c r="B110" s="335" t="str">
        <f>'LBO - Assumptions'!B52</f>
        <v>Assumed Debt</v>
      </c>
      <c r="C110" s="283"/>
      <c r="D110" s="137"/>
      <c r="E110" s="281"/>
      <c r="F110" s="199"/>
      <c r="G110" s="199"/>
      <c r="H110" s="199"/>
      <c r="I110" s="199"/>
      <c r="J110" s="199"/>
      <c r="K110" s="199"/>
      <c r="L110" s="199"/>
      <c r="M110" s="280"/>
      <c r="N110" s="61">
        <f t="shared" si="34"/>
        <v>1</v>
      </c>
      <c r="O110" s="35">
        <v>1</v>
      </c>
    </row>
    <row r="111" spans="2:15" s="506" customFormat="1" ht="11.25" customHeight="1">
      <c r="B111" s="137" t="s">
        <v>498</v>
      </c>
      <c r="C111" s="230"/>
      <c r="D111" s="466" t="str">
        <f>'LBO - Assumptions'!B52</f>
        <v>Assumed Debt</v>
      </c>
      <c r="E111" s="199"/>
      <c r="F111" s="199"/>
      <c r="G111" s="199">
        <f ca="1">F113</f>
        <v>0</v>
      </c>
      <c r="H111" s="199">
        <f ca="1">G113</f>
        <v>0</v>
      </c>
      <c r="I111" s="199">
        <f ca="1">H113</f>
        <v>0</v>
      </c>
      <c r="J111" s="199">
        <f ca="1">I113</f>
        <v>0</v>
      </c>
      <c r="K111" s="199">
        <f t="shared" ref="K111:L111" ca="1" si="53">J113</f>
        <v>0</v>
      </c>
      <c r="L111" s="199">
        <f t="shared" ca="1" si="53"/>
        <v>0</v>
      </c>
      <c r="M111" s="199"/>
      <c r="N111" s="61">
        <f t="shared" si="34"/>
        <v>1</v>
      </c>
      <c r="O111" s="35">
        <v>1</v>
      </c>
    </row>
    <row r="112" spans="2:15" ht="11.25" customHeight="1">
      <c r="B112" s="571" t="s">
        <v>497</v>
      </c>
      <c r="C112" s="572"/>
      <c r="D112" s="571"/>
      <c r="E112" s="571"/>
      <c r="F112" s="570"/>
      <c r="G112" s="570">
        <f ca="1">VLOOKUP($D111,$B$144:$L$158,G$167,FALSE)</f>
        <v>0</v>
      </c>
      <c r="H112" s="570">
        <f t="shared" ref="H112:L112" ca="1" si="54">VLOOKUP($D111,$B$144:$L$158,H$167,FALSE)</f>
        <v>0</v>
      </c>
      <c r="I112" s="570">
        <f t="shared" ca="1" si="54"/>
        <v>0</v>
      </c>
      <c r="J112" s="570">
        <f t="shared" ca="1" si="54"/>
        <v>0</v>
      </c>
      <c r="K112" s="570">
        <f t="shared" ca="1" si="54"/>
        <v>0</v>
      </c>
      <c r="L112" s="570">
        <f t="shared" ca="1" si="54"/>
        <v>0</v>
      </c>
      <c r="M112" s="220"/>
      <c r="N112" s="61">
        <f t="shared" si="34"/>
        <v>1</v>
      </c>
      <c r="O112" s="35">
        <v>1</v>
      </c>
    </row>
    <row r="113" spans="1:15" ht="11.25" customHeight="1">
      <c r="B113" s="137" t="s">
        <v>496</v>
      </c>
      <c r="C113" s="283"/>
      <c r="D113" s="137"/>
      <c r="E113" s="281"/>
      <c r="F113" s="207">
        <f ca="1">'LBO - Assumptions'!E52</f>
        <v>0</v>
      </c>
      <c r="G113" s="207">
        <f ca="1">G111+G112</f>
        <v>0</v>
      </c>
      <c r="H113" s="207">
        <f ca="1">H111+H112</f>
        <v>0</v>
      </c>
      <c r="I113" s="207">
        <f ca="1">I111+I112</f>
        <v>0</v>
      </c>
      <c r="J113" s="207">
        <f ca="1">J111+J112</f>
        <v>0</v>
      </c>
      <c r="K113" s="207">
        <f t="shared" ref="K113:L113" ca="1" si="55">K111+K112</f>
        <v>0</v>
      </c>
      <c r="L113" s="207">
        <f t="shared" ca="1" si="55"/>
        <v>0</v>
      </c>
      <c r="M113" s="220"/>
      <c r="N113" s="61">
        <f t="shared" si="34"/>
        <v>1</v>
      </c>
      <c r="O113" s="35">
        <v>1</v>
      </c>
    </row>
    <row r="114" spans="1:15" ht="11.25" customHeight="1">
      <c r="F114" s="54"/>
      <c r="G114" s="471" t="s">
        <v>415</v>
      </c>
      <c r="H114" s="471"/>
      <c r="I114" s="471"/>
      <c r="J114" s="471"/>
      <c r="K114" s="471"/>
      <c r="L114" s="471"/>
      <c r="N114" s="61">
        <f t="shared" si="34"/>
        <v>0</v>
      </c>
      <c r="O114" s="35">
        <v>0</v>
      </c>
    </row>
    <row r="115" spans="1:15" ht="13.8" thickBot="1">
      <c r="A115" s="24"/>
      <c r="B115" s="470" t="s">
        <v>495</v>
      </c>
      <c r="C115" s="559"/>
      <c r="D115" s="470"/>
      <c r="E115" s="470"/>
      <c r="F115" s="470">
        <f>F$94</f>
        <v>2019</v>
      </c>
      <c r="G115" s="470">
        <f>G$94</f>
        <v>2020</v>
      </c>
      <c r="H115" s="470">
        <f>H$94</f>
        <v>2021</v>
      </c>
      <c r="I115" s="470">
        <f>I$94</f>
        <v>2022</v>
      </c>
      <c r="J115" s="470">
        <f>J$94</f>
        <v>2023</v>
      </c>
      <c r="K115" s="470">
        <f t="shared" ref="K115:L115" si="56">K$94</f>
        <v>2024</v>
      </c>
      <c r="L115" s="470">
        <f t="shared" si="56"/>
        <v>2025</v>
      </c>
      <c r="N115" s="61">
        <f t="shared" si="34"/>
        <v>1</v>
      </c>
      <c r="O115" s="35">
        <v>1</v>
      </c>
    </row>
    <row r="116" spans="1:15" ht="11.25" customHeight="1">
      <c r="B116" s="137" t="str">
        <f>'LBO - Assumptions'!B49</f>
        <v>Senior Debt</v>
      </c>
      <c r="C116" s="557">
        <f>VLOOKUP(B116,'LBO - Assumptions'!$B$49:$D$52,2,FALSE)</f>
        <v>1</v>
      </c>
      <c r="D116" s="137"/>
      <c r="E116" s="281"/>
      <c r="F116" s="281"/>
      <c r="G116" s="281">
        <f t="shared" ref="G116:L116" ca="1" si="57">G103</f>
        <v>0</v>
      </c>
      <c r="H116" s="281">
        <f t="shared" ca="1" si="57"/>
        <v>0</v>
      </c>
      <c r="I116" s="281">
        <f t="shared" ca="1" si="57"/>
        <v>0</v>
      </c>
      <c r="J116" s="281">
        <f t="shared" ca="1" si="57"/>
        <v>0</v>
      </c>
      <c r="K116" s="281">
        <f t="shared" ca="1" si="57"/>
        <v>0</v>
      </c>
      <c r="L116" s="281">
        <f t="shared" ca="1" si="57"/>
        <v>0</v>
      </c>
      <c r="M116" s="280"/>
      <c r="N116" s="61">
        <f t="shared" si="34"/>
        <v>1</v>
      </c>
      <c r="O116" s="35">
        <v>1</v>
      </c>
    </row>
    <row r="117" spans="1:15" ht="11.25" customHeight="1">
      <c r="B117" s="137" t="str">
        <f>'LBO - Assumptions'!B50</f>
        <v>Junior Debt</v>
      </c>
      <c r="C117" s="557">
        <f>VLOOKUP(B117,'LBO - Assumptions'!$B$49:$D$52,2,FALSE)</f>
        <v>0</v>
      </c>
      <c r="D117" s="137"/>
      <c r="E117" s="281"/>
      <c r="F117" s="281"/>
      <c r="G117" s="281">
        <f t="shared" ref="G117:L117" ca="1" si="58">G98</f>
        <v>0</v>
      </c>
      <c r="H117" s="281">
        <f t="shared" ca="1" si="58"/>
        <v>0</v>
      </c>
      <c r="I117" s="281">
        <f t="shared" ca="1" si="58"/>
        <v>0</v>
      </c>
      <c r="J117" s="281">
        <f t="shared" ca="1" si="58"/>
        <v>0</v>
      </c>
      <c r="K117" s="281">
        <f t="shared" ca="1" si="58"/>
        <v>0</v>
      </c>
      <c r="L117" s="281">
        <f t="shared" ca="1" si="58"/>
        <v>0</v>
      </c>
      <c r="M117" s="280"/>
      <c r="N117" s="61">
        <f t="shared" si="34"/>
        <v>1</v>
      </c>
      <c r="O117" s="35">
        <v>1</v>
      </c>
    </row>
    <row r="118" spans="1:15" ht="11.25" customHeight="1">
      <c r="B118" s="137" t="str">
        <f>'LBO - Assumptions'!B51</f>
        <v>Revolver</v>
      </c>
      <c r="C118" s="557">
        <f>VLOOKUP(B118,'LBO - Assumptions'!$B$49:$D$52,2,FALSE)</f>
        <v>1</v>
      </c>
      <c r="D118" s="137"/>
      <c r="E118" s="281"/>
      <c r="F118" s="281"/>
      <c r="G118" s="281">
        <f ca="1">G108</f>
        <v>0</v>
      </c>
      <c r="H118" s="281">
        <f ca="1">H108</f>
        <v>0</v>
      </c>
      <c r="I118" s="281">
        <f ca="1">I108</f>
        <v>0</v>
      </c>
      <c r="J118" s="281">
        <f ca="1">J108</f>
        <v>0</v>
      </c>
      <c r="K118" s="281">
        <f t="shared" ref="K118:L118" ca="1" si="59">K108</f>
        <v>0</v>
      </c>
      <c r="L118" s="281">
        <f t="shared" ca="1" si="59"/>
        <v>0</v>
      </c>
      <c r="M118" s="280"/>
      <c r="N118" s="61">
        <f t="shared" si="34"/>
        <v>1</v>
      </c>
      <c r="O118" s="35">
        <v>1</v>
      </c>
    </row>
    <row r="119" spans="1:15" ht="11.25" customHeight="1">
      <c r="B119" s="464" t="str">
        <f>'LBO - Assumptions'!B52</f>
        <v>Assumed Debt</v>
      </c>
      <c r="C119" s="569">
        <f>VLOOKUP(B119,'LBO - Assumptions'!$B$49:$D$52,2,FALSE)</f>
        <v>0</v>
      </c>
      <c r="D119" s="464"/>
      <c r="E119" s="568"/>
      <c r="F119" s="568"/>
      <c r="G119" s="568">
        <f ca="1">G113</f>
        <v>0</v>
      </c>
      <c r="H119" s="568">
        <f ca="1">H113</f>
        <v>0</v>
      </c>
      <c r="I119" s="568">
        <f ca="1">I113</f>
        <v>0</v>
      </c>
      <c r="J119" s="568">
        <f ca="1">J113</f>
        <v>0</v>
      </c>
      <c r="K119" s="568">
        <f t="shared" ref="K119:L119" ca="1" si="60">K113</f>
        <v>0</v>
      </c>
      <c r="L119" s="568">
        <f t="shared" ca="1" si="60"/>
        <v>0</v>
      </c>
      <c r="M119" s="280"/>
      <c r="N119" s="61">
        <f t="shared" si="34"/>
        <v>1</v>
      </c>
      <c r="O119" s="35">
        <v>1</v>
      </c>
    </row>
    <row r="120" spans="1:15" ht="11.25" customHeight="1">
      <c r="B120" s="268" t="s">
        <v>431</v>
      </c>
      <c r="C120" s="567"/>
      <c r="D120" s="268"/>
      <c r="E120" s="268"/>
      <c r="F120" s="321"/>
      <c r="G120" s="321">
        <f ca="1">SUMIF($C$116:$C$119,1,G116:G119)</f>
        <v>0</v>
      </c>
      <c r="H120" s="321">
        <f ca="1">SUMIF($C$116:$C$119,1,H116:H119)</f>
        <v>0</v>
      </c>
      <c r="I120" s="321">
        <f ca="1">SUMIF($C$116:$C$119,1,I116:I119)</f>
        <v>0</v>
      </c>
      <c r="J120" s="321">
        <f ca="1">SUMIF($C$116:$C$119,1,J116:J119)</f>
        <v>0</v>
      </c>
      <c r="K120" s="321">
        <f t="shared" ref="K120:L120" ca="1" si="61">SUMIF($C$116:$C$119,1,K116:K119)</f>
        <v>0</v>
      </c>
      <c r="L120" s="321">
        <f t="shared" ca="1" si="61"/>
        <v>0</v>
      </c>
      <c r="M120" s="280"/>
      <c r="N120" s="61">
        <f t="shared" si="34"/>
        <v>1</v>
      </c>
      <c r="O120" s="35">
        <v>1</v>
      </c>
    </row>
    <row r="121" spans="1:15" ht="11.25" customHeight="1">
      <c r="B121" s="137" t="s">
        <v>494</v>
      </c>
      <c r="C121" s="557"/>
      <c r="D121" s="137"/>
      <c r="E121" s="137"/>
      <c r="F121" s="281"/>
      <c r="G121" s="281">
        <f ca="1">SUMIF($C$116:$C$119,0,G116:G119)</f>
        <v>0</v>
      </c>
      <c r="H121" s="281">
        <f ca="1">SUMIF($C$116:$C$119,0,H116:H119)</f>
        <v>0</v>
      </c>
      <c r="I121" s="281">
        <f ca="1">SUMIF($C$116:$C$119,0,I116:I119)</f>
        <v>0</v>
      </c>
      <c r="J121" s="281">
        <f ca="1">SUMIF($C$116:$C$119,0,J116:J119)</f>
        <v>0</v>
      </c>
      <c r="K121" s="281">
        <f t="shared" ref="K121:L121" ca="1" si="62">SUMIF($C$116:$C$119,0,K116:K119)</f>
        <v>0</v>
      </c>
      <c r="L121" s="281">
        <f t="shared" ca="1" si="62"/>
        <v>0</v>
      </c>
      <c r="M121" s="280"/>
      <c r="N121" s="61">
        <f t="shared" si="34"/>
        <v>1</v>
      </c>
      <c r="O121" s="35">
        <v>1</v>
      </c>
    </row>
    <row r="122" spans="1:15" s="564" customFormat="1" ht="11.25" customHeight="1">
      <c r="B122" s="555" t="s">
        <v>420</v>
      </c>
      <c r="C122" s="566"/>
      <c r="D122" s="555"/>
      <c r="E122" s="555"/>
      <c r="F122" s="554"/>
      <c r="G122" s="554">
        <f ca="1">SUM(G120:G121)</f>
        <v>0</v>
      </c>
      <c r="H122" s="554">
        <f ca="1">SUM(H120:H121)</f>
        <v>0</v>
      </c>
      <c r="I122" s="554">
        <f ca="1">SUM(I120:I121)</f>
        <v>0</v>
      </c>
      <c r="J122" s="554">
        <f ca="1">SUM(J120:J121)</f>
        <v>0</v>
      </c>
      <c r="K122" s="554">
        <f t="shared" ref="K122:L122" ca="1" si="63">SUM(K120:K121)</f>
        <v>0</v>
      </c>
      <c r="L122" s="554">
        <f t="shared" ca="1" si="63"/>
        <v>0</v>
      </c>
      <c r="M122" s="565"/>
      <c r="N122" s="61">
        <f t="shared" si="34"/>
        <v>1</v>
      </c>
      <c r="O122" s="35">
        <v>1</v>
      </c>
    </row>
    <row r="123" spans="1:15" ht="11.25" customHeight="1">
      <c r="B123" s="267"/>
      <c r="C123" s="563" t="s">
        <v>493</v>
      </c>
      <c r="E123" s="562"/>
      <c r="F123" s="561"/>
      <c r="G123" s="561" t="str">
        <f t="shared" ref="G123:L123" ca="1" si="64">IF(G122-(G113+G108+G103+G98)=0,"OK",G122-(G113+G108+G103+G98))</f>
        <v>OK</v>
      </c>
      <c r="H123" s="561" t="str">
        <f t="shared" ca="1" si="64"/>
        <v>OK</v>
      </c>
      <c r="I123" s="561" t="str">
        <f t="shared" ca="1" si="64"/>
        <v>OK</v>
      </c>
      <c r="J123" s="561" t="str">
        <f t="shared" ca="1" si="64"/>
        <v>OK</v>
      </c>
      <c r="K123" s="561" t="str">
        <f t="shared" ca="1" si="64"/>
        <v>OK</v>
      </c>
      <c r="L123" s="561" t="str">
        <f t="shared" ca="1" si="64"/>
        <v>OK</v>
      </c>
      <c r="M123" s="280"/>
      <c r="N123" s="61">
        <f t="shared" si="34"/>
        <v>0</v>
      </c>
      <c r="O123" s="35">
        <v>0</v>
      </c>
    </row>
    <row r="124" spans="1:15" ht="11.25" customHeight="1">
      <c r="B124" s="267"/>
      <c r="C124" s="563"/>
      <c r="D124" s="489"/>
      <c r="E124" s="562"/>
      <c r="F124" s="561"/>
      <c r="G124" s="561"/>
      <c r="H124" s="561"/>
      <c r="I124" s="561"/>
      <c r="J124" s="561"/>
      <c r="K124" s="561"/>
      <c r="L124" s="561"/>
      <c r="M124" s="280"/>
      <c r="N124" s="61">
        <f t="shared" si="34"/>
        <v>0</v>
      </c>
      <c r="O124" s="35">
        <v>0</v>
      </c>
    </row>
    <row r="125" spans="1:15" ht="13.8" thickBot="1">
      <c r="A125" s="24"/>
      <c r="B125" s="470" t="s">
        <v>482</v>
      </c>
      <c r="C125" s="559"/>
      <c r="D125" s="470"/>
      <c r="E125" s="470"/>
      <c r="F125" s="470"/>
      <c r="G125" s="470">
        <f>G$94</f>
        <v>2020</v>
      </c>
      <c r="H125" s="470">
        <f>H$94</f>
        <v>2021</v>
      </c>
      <c r="I125" s="470">
        <f>I$94</f>
        <v>2022</v>
      </c>
      <c r="J125" s="470">
        <f>J$94</f>
        <v>2023</v>
      </c>
      <c r="K125" s="470">
        <f t="shared" ref="K125:L125" si="65">K$94</f>
        <v>2024</v>
      </c>
      <c r="L125" s="470">
        <f t="shared" si="65"/>
        <v>2025</v>
      </c>
      <c r="N125" s="61">
        <f t="shared" si="34"/>
        <v>1</v>
      </c>
      <c r="O125" s="35">
        <v>1</v>
      </c>
    </row>
    <row r="126" spans="1:15" s="267" customFormat="1" ht="11.25" customHeight="1">
      <c r="B126" s="137" t="str">
        <f>D101</f>
        <v>Senior Debt</v>
      </c>
      <c r="C126" s="698">
        <f ca="1">'LBO - Assumptions'!D18</f>
        <v>0</v>
      </c>
      <c r="D126" s="137"/>
      <c r="E126" s="281"/>
      <c r="F126" s="560"/>
      <c r="G126" s="560">
        <f ca="1">$C$126</f>
        <v>0</v>
      </c>
      <c r="H126" s="560">
        <f t="shared" ref="H126:J129" ca="1" si="66">G126</f>
        <v>0</v>
      </c>
      <c r="I126" s="560">
        <f t="shared" ca="1" si="66"/>
        <v>0</v>
      </c>
      <c r="J126" s="560">
        <f t="shared" ca="1" si="66"/>
        <v>0</v>
      </c>
      <c r="K126" s="560">
        <f t="shared" ref="K126:L126" ca="1" si="67">J126</f>
        <v>0</v>
      </c>
      <c r="L126" s="560">
        <f t="shared" ca="1" si="67"/>
        <v>0</v>
      </c>
      <c r="M126" s="280"/>
      <c r="N126" s="61">
        <f t="shared" si="34"/>
        <v>1</v>
      </c>
      <c r="O126" s="35">
        <v>1</v>
      </c>
    </row>
    <row r="127" spans="1:15" s="267" customFormat="1" ht="11.25" customHeight="1">
      <c r="B127" s="137" t="str">
        <f>D96</f>
        <v>Junior Debt</v>
      </c>
      <c r="C127" s="698">
        <f ca="1">'LBO - Assumptions'!D19</f>
        <v>0</v>
      </c>
      <c r="D127" s="137"/>
      <c r="E127" s="281"/>
      <c r="F127" s="560"/>
      <c r="G127" s="560">
        <f ca="1">$C$127</f>
        <v>0</v>
      </c>
      <c r="H127" s="560">
        <f t="shared" ca="1" si="66"/>
        <v>0</v>
      </c>
      <c r="I127" s="560">
        <f t="shared" ca="1" si="66"/>
        <v>0</v>
      </c>
      <c r="J127" s="560">
        <f t="shared" ca="1" si="66"/>
        <v>0</v>
      </c>
      <c r="K127" s="560">
        <f t="shared" ref="K127:L127" ca="1" si="68">J127</f>
        <v>0</v>
      </c>
      <c r="L127" s="560">
        <f t="shared" ca="1" si="68"/>
        <v>0</v>
      </c>
      <c r="M127" s="280"/>
      <c r="N127" s="61">
        <f t="shared" si="34"/>
        <v>1</v>
      </c>
      <c r="O127" s="35">
        <v>1</v>
      </c>
    </row>
    <row r="128" spans="1:15" s="267" customFormat="1" ht="11.25" customHeight="1">
      <c r="B128" s="137" t="str">
        <f>D106</f>
        <v>Revolver</v>
      </c>
      <c r="C128" s="698">
        <f ca="1">'LBO - Assumptions'!D20</f>
        <v>0</v>
      </c>
      <c r="D128" s="137"/>
      <c r="E128" s="281"/>
      <c r="F128" s="560"/>
      <c r="G128" s="560">
        <f ca="1">$C$128</f>
        <v>0</v>
      </c>
      <c r="H128" s="560">
        <f t="shared" ca="1" si="66"/>
        <v>0</v>
      </c>
      <c r="I128" s="560">
        <f t="shared" ca="1" si="66"/>
        <v>0</v>
      </c>
      <c r="J128" s="560">
        <f t="shared" ca="1" si="66"/>
        <v>0</v>
      </c>
      <c r="K128" s="560">
        <f t="shared" ref="K128:L128" ca="1" si="69">J128</f>
        <v>0</v>
      </c>
      <c r="L128" s="560">
        <f t="shared" ca="1" si="69"/>
        <v>0</v>
      </c>
      <c r="M128" s="280"/>
      <c r="N128" s="61">
        <f t="shared" si="34"/>
        <v>1</v>
      </c>
      <c r="O128" s="35">
        <v>1</v>
      </c>
    </row>
    <row r="129" spans="1:97" s="267" customFormat="1" ht="11.25" customHeight="1">
      <c r="B129" s="137" t="str">
        <f>D111</f>
        <v>Assumed Debt</v>
      </c>
      <c r="C129" s="698">
        <f ca="1">'LBO - Assumptions'!D21</f>
        <v>0</v>
      </c>
      <c r="D129" s="137"/>
      <c r="E129" s="137"/>
      <c r="F129" s="560"/>
      <c r="G129" s="560">
        <f ca="1">$C$129</f>
        <v>0</v>
      </c>
      <c r="H129" s="560">
        <f t="shared" ca="1" si="66"/>
        <v>0</v>
      </c>
      <c r="I129" s="560">
        <f t="shared" ca="1" si="66"/>
        <v>0</v>
      </c>
      <c r="J129" s="560">
        <f t="shared" ca="1" si="66"/>
        <v>0</v>
      </c>
      <c r="K129" s="560">
        <f t="shared" ref="K129:L129" ca="1" si="70">J129</f>
        <v>0</v>
      </c>
      <c r="L129" s="560">
        <f t="shared" ca="1" si="70"/>
        <v>0</v>
      </c>
      <c r="M129" s="280"/>
      <c r="N129" s="61">
        <f t="shared" si="34"/>
        <v>1</v>
      </c>
      <c r="O129" s="35">
        <v>1</v>
      </c>
    </row>
    <row r="130" spans="1:97" s="267" customFormat="1" ht="11.25" customHeight="1">
      <c r="C130" s="553"/>
      <c r="E130" s="281"/>
      <c r="F130" s="280"/>
      <c r="G130" s="280"/>
      <c r="H130" s="280"/>
      <c r="I130" s="280"/>
      <c r="J130" s="280"/>
      <c r="K130" s="280"/>
      <c r="L130" s="280"/>
      <c r="M130" s="280"/>
      <c r="N130" s="61">
        <f t="shared" si="34"/>
        <v>0</v>
      </c>
      <c r="O130" s="35">
        <v>0</v>
      </c>
    </row>
    <row r="131" spans="1:97" ht="13.8" thickBot="1">
      <c r="A131" s="24"/>
      <c r="B131" s="470" t="s">
        <v>492</v>
      </c>
      <c r="C131" s="559"/>
      <c r="D131" s="470"/>
      <c r="E131" s="470"/>
      <c r="F131" s="470"/>
      <c r="G131" s="470"/>
      <c r="H131" s="470"/>
      <c r="I131" s="470"/>
      <c r="J131" s="470"/>
      <c r="K131" s="470"/>
      <c r="L131" s="470"/>
      <c r="N131" s="61">
        <f t="shared" si="34"/>
        <v>1</v>
      </c>
      <c r="O131" s="35">
        <v>1</v>
      </c>
    </row>
    <row r="132" spans="1:97" s="267" customFormat="1" ht="11.25" customHeight="1">
      <c r="B132" s="267" t="str">
        <f>B126</f>
        <v>Senior Debt</v>
      </c>
      <c r="C132" s="558">
        <f>VLOOKUP(B132,'LBO - Assumptions'!$B$49:$D$52,2,FALSE)</f>
        <v>1</v>
      </c>
      <c r="E132" s="281"/>
      <c r="F132" s="280"/>
      <c r="G132" s="280">
        <f t="shared" ref="G132:L132" ca="1" si="71">G126*(G101)</f>
        <v>0</v>
      </c>
      <c r="H132" s="280">
        <f t="shared" ca="1" si="71"/>
        <v>0</v>
      </c>
      <c r="I132" s="280">
        <f t="shared" ca="1" si="71"/>
        <v>0</v>
      </c>
      <c r="J132" s="280">
        <f t="shared" ca="1" si="71"/>
        <v>0</v>
      </c>
      <c r="K132" s="280">
        <f t="shared" ca="1" si="71"/>
        <v>0</v>
      </c>
      <c r="L132" s="280">
        <f t="shared" ca="1" si="71"/>
        <v>0</v>
      </c>
      <c r="N132" s="61">
        <f t="shared" si="34"/>
        <v>1</v>
      </c>
      <c r="O132" s="35">
        <v>1</v>
      </c>
    </row>
    <row r="133" spans="1:97" s="267" customFormat="1" ht="11.25" customHeight="1">
      <c r="B133" s="267" t="str">
        <f>B127</f>
        <v>Junior Debt</v>
      </c>
      <c r="C133" s="558">
        <f>VLOOKUP(B133,'LBO - Assumptions'!$B$49:$D$52,2,FALSE)</f>
        <v>0</v>
      </c>
      <c r="E133" s="281"/>
      <c r="F133" s="280"/>
      <c r="G133" s="280">
        <f t="shared" ref="G133:L133" ca="1" si="72">G127*(G96)</f>
        <v>0</v>
      </c>
      <c r="H133" s="280">
        <f t="shared" ca="1" si="72"/>
        <v>0</v>
      </c>
      <c r="I133" s="280">
        <f t="shared" ca="1" si="72"/>
        <v>0</v>
      </c>
      <c r="J133" s="280">
        <f t="shared" ca="1" si="72"/>
        <v>0</v>
      </c>
      <c r="K133" s="280">
        <f t="shared" ca="1" si="72"/>
        <v>0</v>
      </c>
      <c r="L133" s="280">
        <f t="shared" ca="1" si="72"/>
        <v>0</v>
      </c>
      <c r="N133" s="61">
        <f t="shared" si="34"/>
        <v>1</v>
      </c>
      <c r="O133" s="35">
        <v>1</v>
      </c>
    </row>
    <row r="134" spans="1:97" s="267" customFormat="1" ht="11.25" customHeight="1">
      <c r="B134" s="137" t="str">
        <f>B128</f>
        <v>Revolver</v>
      </c>
      <c r="C134" s="557">
        <f>VLOOKUP(B134,'LBO - Assumptions'!$B$49:$D$52,2,FALSE)</f>
        <v>1</v>
      </c>
      <c r="D134" s="137"/>
      <c r="E134" s="281"/>
      <c r="F134" s="281"/>
      <c r="G134" s="281">
        <f ca="1">G128*(G106)</f>
        <v>0</v>
      </c>
      <c r="H134" s="281">
        <f ca="1">H128*(H106)</f>
        <v>0</v>
      </c>
      <c r="I134" s="281">
        <f ca="1">I128*(I106)</f>
        <v>0</v>
      </c>
      <c r="J134" s="281">
        <f ca="1">J128*(J106)</f>
        <v>0</v>
      </c>
      <c r="K134" s="281">
        <f t="shared" ref="K134:L134" ca="1" si="73">K128*(K106)</f>
        <v>0</v>
      </c>
      <c r="L134" s="281">
        <f t="shared" ca="1" si="73"/>
        <v>0</v>
      </c>
      <c r="N134" s="61">
        <f t="shared" si="34"/>
        <v>1</v>
      </c>
      <c r="O134" s="35">
        <v>1</v>
      </c>
    </row>
    <row r="135" spans="1:97" s="267" customFormat="1" ht="11.25" customHeight="1">
      <c r="B135" s="137" t="str">
        <f>B129</f>
        <v>Assumed Debt</v>
      </c>
      <c r="C135" s="557">
        <f>VLOOKUP(B135,'LBO - Assumptions'!$B$49:$D$52,2,FALSE)</f>
        <v>0</v>
      </c>
      <c r="D135" s="137"/>
      <c r="E135" s="137"/>
      <c r="F135" s="281"/>
      <c r="G135" s="281">
        <f ca="1">(G111)*G129</f>
        <v>0</v>
      </c>
      <c r="H135" s="281">
        <f ca="1">(H111)*H129</f>
        <v>0</v>
      </c>
      <c r="I135" s="281">
        <f ca="1">(I111)*I129</f>
        <v>0</v>
      </c>
      <c r="J135" s="281">
        <f ca="1">(J111)*J129</f>
        <v>0</v>
      </c>
      <c r="K135" s="281">
        <f t="shared" ref="K135:L135" ca="1" si="74">(K111)*K129</f>
        <v>0</v>
      </c>
      <c r="L135" s="281">
        <f t="shared" ca="1" si="74"/>
        <v>0</v>
      </c>
      <c r="M135" s="280"/>
      <c r="N135" s="61">
        <f t="shared" si="34"/>
        <v>1</v>
      </c>
      <c r="O135" s="35">
        <v>1</v>
      </c>
    </row>
    <row r="136" spans="1:97" s="267" customFormat="1" ht="11.25" customHeight="1">
      <c r="B136" s="268" t="s">
        <v>491</v>
      </c>
      <c r="C136" s="291"/>
      <c r="D136" s="268"/>
      <c r="E136" s="268"/>
      <c r="F136" s="321"/>
      <c r="G136" s="321">
        <f ca="1">SUMIF($C$132:$C$135,1,G132:G135)</f>
        <v>0</v>
      </c>
      <c r="H136" s="321">
        <f ca="1">SUMIF($C$132:$C$135,1,H132:H135)</f>
        <v>0</v>
      </c>
      <c r="I136" s="321">
        <f ca="1">SUMIF($C$132:$C$135,1,I132:I135)</f>
        <v>0</v>
      </c>
      <c r="J136" s="321">
        <f ca="1">SUMIF($C$132:$C$135,1,J132:J135)</f>
        <v>0</v>
      </c>
      <c r="K136" s="321">
        <f t="shared" ref="K136:L136" ca="1" si="75">SUMIF($C$132:$C$135,1,K132:K135)</f>
        <v>0</v>
      </c>
      <c r="L136" s="321">
        <f t="shared" ca="1" si="75"/>
        <v>0</v>
      </c>
      <c r="N136" s="61">
        <f t="shared" ref="N136:N167" si="76">IF(NOT(ISBLANK(B136)), 1, 0)</f>
        <v>1</v>
      </c>
      <c r="O136" s="35">
        <v>1</v>
      </c>
    </row>
    <row r="137" spans="1:97" s="267" customFormat="1" ht="11.25" customHeight="1">
      <c r="B137" s="267" t="s">
        <v>490</v>
      </c>
      <c r="C137" s="553"/>
      <c r="F137" s="280"/>
      <c r="G137" s="280">
        <f ca="1">SUMIF($C$132:$C$135,0,G132:G135)</f>
        <v>0</v>
      </c>
      <c r="H137" s="280">
        <f ca="1">SUMIF($C$132:$C$135,0,H132:H135)</f>
        <v>0</v>
      </c>
      <c r="I137" s="280">
        <f ca="1">SUMIF($C$132:$C$135,0,I132:I135)</f>
        <v>0</v>
      </c>
      <c r="J137" s="280">
        <f ca="1">SUMIF($C$132:$C$135,0,J132:J135)</f>
        <v>0</v>
      </c>
      <c r="K137" s="280">
        <f t="shared" ref="K137:L137" ca="1" si="77">SUMIF($C$132:$C$135,0,K132:K135)</f>
        <v>0</v>
      </c>
      <c r="L137" s="280">
        <f t="shared" ca="1" si="77"/>
        <v>0</v>
      </c>
      <c r="N137" s="61">
        <f t="shared" si="76"/>
        <v>1</v>
      </c>
      <c r="O137" s="35">
        <v>1</v>
      </c>
    </row>
    <row r="138" spans="1:97" s="267" customFormat="1" ht="11.25" customHeight="1">
      <c r="B138" s="555" t="s">
        <v>489</v>
      </c>
      <c r="C138" s="556"/>
      <c r="D138" s="555"/>
      <c r="E138" s="555"/>
      <c r="F138" s="554"/>
      <c r="G138" s="554">
        <f ca="1">SUM(G132:G135)</f>
        <v>0</v>
      </c>
      <c r="H138" s="554">
        <f ca="1">SUM(H132:H135)</f>
        <v>0</v>
      </c>
      <c r="I138" s="554">
        <f ca="1">SUM(I132:I135)</f>
        <v>0</v>
      </c>
      <c r="J138" s="554">
        <f ca="1">SUM(J132:J135)</f>
        <v>0</v>
      </c>
      <c r="K138" s="554">
        <f t="shared" ref="K138:L138" ca="1" si="78">SUM(K132:K135)</f>
        <v>0</v>
      </c>
      <c r="L138" s="554">
        <f t="shared" ca="1" si="78"/>
        <v>0</v>
      </c>
      <c r="N138" s="61">
        <f t="shared" si="76"/>
        <v>1</v>
      </c>
      <c r="O138" s="35">
        <v>1</v>
      </c>
    </row>
    <row r="139" spans="1:97" s="267" customFormat="1" ht="11.25" customHeight="1">
      <c r="C139" s="553"/>
      <c r="E139" s="281"/>
      <c r="N139" s="61">
        <f t="shared" si="76"/>
        <v>0</v>
      </c>
      <c r="O139" s="35">
        <v>0</v>
      </c>
    </row>
    <row r="140" spans="1:97" s="267" customFormat="1" ht="10.199999999999999">
      <c r="B140" s="1" t="s">
        <v>488</v>
      </c>
      <c r="C140" s="553"/>
      <c r="E140" s="281"/>
      <c r="F140" s="280"/>
      <c r="G140" s="280"/>
      <c r="H140" s="280"/>
      <c r="I140" s="280"/>
      <c r="J140" s="280"/>
      <c r="K140" s="280"/>
      <c r="L140" s="280"/>
      <c r="N140" s="61">
        <f t="shared" si="76"/>
        <v>1</v>
      </c>
      <c r="O140" s="35">
        <v>1</v>
      </c>
    </row>
    <row r="141" spans="1:97" s="267" customFormat="1" ht="10.199999999999999">
      <c r="B141" s="1"/>
      <c r="C141" s="553"/>
      <c r="E141" s="281"/>
      <c r="F141" s="280"/>
      <c r="G141" s="280"/>
      <c r="H141" s="280"/>
      <c r="I141" s="280"/>
      <c r="J141" s="280"/>
      <c r="K141" s="280"/>
      <c r="L141" s="280"/>
      <c r="N141" s="61">
        <f t="shared" si="76"/>
        <v>0</v>
      </c>
      <c r="O141" s="35">
        <v>0</v>
      </c>
    </row>
    <row r="142" spans="1:97" s="267" customFormat="1" ht="12.45" customHeight="1">
      <c r="B142" s="762" t="s">
        <v>543</v>
      </c>
      <c r="C142" s="762"/>
      <c r="D142" s="763"/>
      <c r="E142" s="763"/>
      <c r="F142" s="763"/>
      <c r="G142" s="762"/>
      <c r="H142" s="762"/>
      <c r="I142" s="763"/>
      <c r="J142" s="763"/>
      <c r="K142" s="763"/>
      <c r="L142" s="763"/>
      <c r="N142" s="61">
        <f t="shared" si="76"/>
        <v>1</v>
      </c>
      <c r="O142" s="35">
        <v>1</v>
      </c>
    </row>
    <row r="143" spans="1:97" s="58" customFormat="1" ht="11.25" customHeight="1">
      <c r="A143" s="279"/>
      <c r="B143" s="591"/>
      <c r="C143" s="230"/>
      <c r="D143" s="62"/>
      <c r="E143" s="62"/>
      <c r="F143" s="54"/>
      <c r="G143" s="471" t="s">
        <v>415</v>
      </c>
      <c r="H143" s="471"/>
      <c r="I143" s="471"/>
      <c r="J143" s="471"/>
      <c r="K143" s="471"/>
      <c r="L143" s="471"/>
      <c r="M143" s="62"/>
      <c r="N143" s="61">
        <f t="shared" si="76"/>
        <v>0</v>
      </c>
      <c r="O143" s="35">
        <v>0</v>
      </c>
      <c r="P143" s="492"/>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c r="BG143" s="69"/>
      <c r="BH143" s="69"/>
      <c r="BI143" s="69"/>
      <c r="BJ143" s="69"/>
      <c r="BK143" s="69"/>
      <c r="BL143" s="69"/>
      <c r="BM143" s="69"/>
      <c r="BN143" s="69"/>
      <c r="BO143" s="69"/>
      <c r="BP143" s="69"/>
      <c r="BQ143" s="69"/>
      <c r="BR143" s="69"/>
      <c r="BS143" s="69"/>
      <c r="BT143" s="69"/>
      <c r="BU143" s="69"/>
      <c r="BV143" s="69"/>
      <c r="BW143" s="69"/>
      <c r="BX143" s="69"/>
      <c r="BY143" s="69"/>
      <c r="BZ143" s="69"/>
      <c r="CA143" s="69"/>
      <c r="CB143" s="69"/>
      <c r="CC143" s="69"/>
      <c r="CD143" s="69"/>
      <c r="CE143" s="69"/>
      <c r="CF143" s="69"/>
      <c r="CG143" s="69"/>
      <c r="CH143" s="69"/>
      <c r="CI143" s="69"/>
      <c r="CJ143" s="69"/>
      <c r="CK143" s="69"/>
      <c r="CL143" s="69"/>
      <c r="CM143" s="69"/>
      <c r="CN143" s="69"/>
      <c r="CO143" s="69"/>
      <c r="CP143" s="69"/>
      <c r="CQ143" s="69"/>
      <c r="CR143" s="69"/>
      <c r="CS143" s="69"/>
    </row>
    <row r="144" spans="1:97" ht="13.8" thickBot="1">
      <c r="A144" s="24"/>
      <c r="B144" s="470"/>
      <c r="C144" s="559"/>
      <c r="D144" s="470"/>
      <c r="E144" s="470"/>
      <c r="F144" s="470">
        <f t="shared" ref="F144:L144" si="79">F94</f>
        <v>2019</v>
      </c>
      <c r="G144" s="470">
        <f t="shared" si="79"/>
        <v>2020</v>
      </c>
      <c r="H144" s="470">
        <f t="shared" si="79"/>
        <v>2021</v>
      </c>
      <c r="I144" s="470">
        <f t="shared" si="79"/>
        <v>2022</v>
      </c>
      <c r="J144" s="470">
        <f t="shared" si="79"/>
        <v>2023</v>
      </c>
      <c r="K144" s="470">
        <f t="shared" si="79"/>
        <v>2024</v>
      </c>
      <c r="L144" s="470">
        <f t="shared" si="79"/>
        <v>2025</v>
      </c>
      <c r="N144" s="61">
        <f t="shared" si="76"/>
        <v>0</v>
      </c>
      <c r="O144" s="35">
        <v>0</v>
      </c>
    </row>
    <row r="145" spans="1:22" s="267" customFormat="1" ht="11.25" customHeight="1">
      <c r="B145" s="268"/>
      <c r="C145" s="291"/>
      <c r="D145" s="582"/>
      <c r="E145" s="590" t="s">
        <v>507</v>
      </c>
      <c r="F145" s="582"/>
      <c r="G145" s="268"/>
      <c r="H145" s="268"/>
      <c r="I145" s="268"/>
      <c r="J145" s="268"/>
      <c r="K145" s="268"/>
      <c r="L145" s="268"/>
      <c r="N145" s="61">
        <f t="shared" si="76"/>
        <v>0</v>
      </c>
      <c r="O145" s="35">
        <v>0</v>
      </c>
    </row>
    <row r="146" spans="1:22" s="267" customFormat="1" ht="11.25" customHeight="1">
      <c r="B146" s="478" t="s">
        <v>614</v>
      </c>
      <c r="C146" s="291" t="s">
        <v>503</v>
      </c>
      <c r="D146" s="268"/>
      <c r="E146" s="772"/>
      <c r="F146" s="321"/>
      <c r="G146" s="321">
        <f t="shared" ref="G146:L146" ca="1" si="80">G23</f>
        <v>0</v>
      </c>
      <c r="H146" s="321">
        <f t="shared" ca="1" si="80"/>
        <v>0</v>
      </c>
      <c r="I146" s="321">
        <f t="shared" ca="1" si="80"/>
        <v>0</v>
      </c>
      <c r="J146" s="321">
        <f t="shared" ca="1" si="80"/>
        <v>0</v>
      </c>
      <c r="K146" s="321">
        <f t="shared" ca="1" si="80"/>
        <v>0</v>
      </c>
      <c r="L146" s="321">
        <f t="shared" ca="1" si="80"/>
        <v>0</v>
      </c>
      <c r="N146" s="61">
        <f t="shared" si="76"/>
        <v>1</v>
      </c>
      <c r="O146" s="35">
        <v>1</v>
      </c>
    </row>
    <row r="147" spans="1:22" s="267" customFormat="1" ht="11.25" customHeight="1">
      <c r="B147" s="576" t="str">
        <f>VLOOKUP(E147,$E$161:$F$164,2,FALSE)</f>
        <v>Junior Debt</v>
      </c>
      <c r="C147" s="587" t="s">
        <v>380</v>
      </c>
      <c r="D147" s="464"/>
      <c r="E147" s="586">
        <f>'LBO - Assumptions'!E76</f>
        <v>1</v>
      </c>
      <c r="F147" s="568"/>
      <c r="G147" s="568">
        <f t="shared" ref="G147:L147" ca="1" si="81">-MAX(0,MIN(G146,VLOOKUP($B$147,$D$94:$L$114,G167-2,FALSE)))</f>
        <v>0</v>
      </c>
      <c r="H147" s="568">
        <f t="shared" ca="1" si="81"/>
        <v>0</v>
      </c>
      <c r="I147" s="568">
        <f t="shared" ca="1" si="81"/>
        <v>0</v>
      </c>
      <c r="J147" s="568">
        <f t="shared" ca="1" si="81"/>
        <v>0</v>
      </c>
      <c r="K147" s="568">
        <f t="shared" ca="1" si="81"/>
        <v>0</v>
      </c>
      <c r="L147" s="568">
        <f t="shared" ca="1" si="81"/>
        <v>0</v>
      </c>
      <c r="N147" s="61">
        <f t="shared" si="76"/>
        <v>1</v>
      </c>
      <c r="O147" s="35">
        <v>1</v>
      </c>
    </row>
    <row r="148" spans="1:22" s="267" customFormat="1" ht="11.25" customHeight="1">
      <c r="B148" s="268"/>
      <c r="C148" s="268"/>
      <c r="D148" s="225"/>
      <c r="E148" s="776"/>
      <c r="F148" s="777"/>
      <c r="G148" s="268"/>
      <c r="H148" s="268"/>
      <c r="I148" s="268"/>
      <c r="J148" s="268"/>
      <c r="K148" s="268"/>
      <c r="L148" s="268"/>
      <c r="N148" s="61">
        <f t="shared" si="76"/>
        <v>0</v>
      </c>
      <c r="O148" s="35">
        <v>0</v>
      </c>
    </row>
    <row r="149" spans="1:22" s="267" customFormat="1" ht="11.25" customHeight="1">
      <c r="B149" s="478" t="s">
        <v>611</v>
      </c>
      <c r="C149" s="291" t="s">
        <v>503</v>
      </c>
      <c r="D149" s="268"/>
      <c r="E149" s="268"/>
      <c r="F149" s="321"/>
      <c r="G149" s="321">
        <f ca="1">G146+G147</f>
        <v>0</v>
      </c>
      <c r="H149" s="321">
        <f t="shared" ref="H149:L149" ca="1" si="82">H146+H147</f>
        <v>0</v>
      </c>
      <c r="I149" s="321">
        <f t="shared" ca="1" si="82"/>
        <v>0</v>
      </c>
      <c r="J149" s="321">
        <f t="shared" ca="1" si="82"/>
        <v>0</v>
      </c>
      <c r="K149" s="321">
        <f t="shared" ca="1" si="82"/>
        <v>0</v>
      </c>
      <c r="L149" s="321">
        <f t="shared" ca="1" si="82"/>
        <v>0</v>
      </c>
      <c r="N149" s="61">
        <f t="shared" si="76"/>
        <v>1</v>
      </c>
      <c r="O149" s="35">
        <v>1</v>
      </c>
    </row>
    <row r="150" spans="1:22" s="267" customFormat="1" ht="11.25" customHeight="1">
      <c r="B150" s="576" t="str">
        <f>VLOOKUP(E150,$E$161:$F$164,2,FALSE)</f>
        <v>Senior Debt</v>
      </c>
      <c r="C150" s="587" t="s">
        <v>504</v>
      </c>
      <c r="D150" s="464"/>
      <c r="E150" s="586">
        <f>'LBO - Assumptions'!E75</f>
        <v>2</v>
      </c>
      <c r="F150" s="568"/>
      <c r="G150" s="568">
        <f t="shared" ref="G150:L150" ca="1" si="83">-MAX(0,MIN(G149,VLOOKUP($B$150,$D$100:$L$114,G167-2,FALSE)))</f>
        <v>0</v>
      </c>
      <c r="H150" s="568">
        <f t="shared" ca="1" si="83"/>
        <v>0</v>
      </c>
      <c r="I150" s="568">
        <f t="shared" ca="1" si="83"/>
        <v>0</v>
      </c>
      <c r="J150" s="568">
        <f t="shared" ca="1" si="83"/>
        <v>0</v>
      </c>
      <c r="K150" s="568">
        <f t="shared" ca="1" si="83"/>
        <v>0</v>
      </c>
      <c r="L150" s="568">
        <f t="shared" ca="1" si="83"/>
        <v>0</v>
      </c>
      <c r="N150" s="61">
        <f t="shared" si="76"/>
        <v>1</v>
      </c>
      <c r="O150" s="35">
        <v>1</v>
      </c>
    </row>
    <row r="151" spans="1:22">
      <c r="N151" s="61">
        <f t="shared" si="76"/>
        <v>0</v>
      </c>
      <c r="O151" s="35">
        <v>0</v>
      </c>
    </row>
    <row r="152" spans="1:22" s="267" customFormat="1" ht="11.25" customHeight="1">
      <c r="B152" s="478" t="s">
        <v>613</v>
      </c>
      <c r="C152" s="291" t="s">
        <v>503</v>
      </c>
      <c r="D152" s="268"/>
      <c r="E152" s="268"/>
      <c r="F152" s="321"/>
      <c r="G152" s="321">
        <f ca="1">G146+G147+G150</f>
        <v>0</v>
      </c>
      <c r="H152" s="321">
        <f t="shared" ref="H152:L152" ca="1" si="84">H146+H147+H150</f>
        <v>0</v>
      </c>
      <c r="I152" s="321">
        <f t="shared" ca="1" si="84"/>
        <v>0</v>
      </c>
      <c r="J152" s="321">
        <f t="shared" ca="1" si="84"/>
        <v>0</v>
      </c>
      <c r="K152" s="321">
        <f t="shared" ca="1" si="84"/>
        <v>0</v>
      </c>
      <c r="L152" s="321">
        <f t="shared" ca="1" si="84"/>
        <v>0</v>
      </c>
      <c r="N152" s="61">
        <f t="shared" si="76"/>
        <v>1</v>
      </c>
      <c r="O152" s="35">
        <v>1</v>
      </c>
    </row>
    <row r="153" spans="1:22" s="267" customFormat="1" ht="11.25" customHeight="1">
      <c r="B153" s="335" t="str">
        <f>VLOOKUP(E153,$E$161:$F$164,2,FALSE)</f>
        <v>Revolver</v>
      </c>
      <c r="C153" s="283" t="s">
        <v>506</v>
      </c>
      <c r="D153" s="137"/>
      <c r="E153" s="774">
        <f>'LBO - Assumptions'!E77</f>
        <v>3</v>
      </c>
      <c r="F153" s="281"/>
      <c r="G153" s="281">
        <f t="shared" ref="G153:L153" ca="1" si="85">-MAX(0,MIN(G152,VLOOKUP($B$153,$D$94:$L$114,G167-2,FALSE)))</f>
        <v>0</v>
      </c>
      <c r="H153" s="281">
        <f t="shared" ca="1" si="85"/>
        <v>0</v>
      </c>
      <c r="I153" s="281">
        <f t="shared" ca="1" si="85"/>
        <v>0</v>
      </c>
      <c r="J153" s="281">
        <f t="shared" ca="1" si="85"/>
        <v>0</v>
      </c>
      <c r="K153" s="281">
        <f t="shared" ca="1" si="85"/>
        <v>0</v>
      </c>
      <c r="L153" s="281">
        <f t="shared" ca="1" si="85"/>
        <v>0</v>
      </c>
      <c r="N153" s="61">
        <f t="shared" si="76"/>
        <v>1</v>
      </c>
      <c r="O153" s="35">
        <v>1</v>
      </c>
    </row>
    <row r="154" spans="1:22" s="267" customFormat="1" ht="11.25" customHeight="1">
      <c r="B154" s="230" t="s">
        <v>505</v>
      </c>
      <c r="C154" s="230"/>
      <c r="D154" s="62"/>
      <c r="E154" s="775">
        <f ca="1">'LBO - Assumptions'!E51</f>
        <v>0</v>
      </c>
      <c r="F154" s="137"/>
      <c r="H154" s="137"/>
      <c r="I154" s="137"/>
      <c r="J154" s="137"/>
      <c r="K154" s="137"/>
      <c r="L154" s="137"/>
      <c r="N154" s="61">
        <f t="shared" si="76"/>
        <v>1</v>
      </c>
      <c r="O154" s="35">
        <v>1</v>
      </c>
    </row>
    <row r="155" spans="1:22" s="267" customFormat="1" ht="11.25" customHeight="1">
      <c r="B155" s="335"/>
      <c r="C155" s="283"/>
      <c r="D155" s="137"/>
      <c r="E155" s="589"/>
      <c r="F155" s="281"/>
      <c r="G155" s="281"/>
      <c r="H155" s="281"/>
      <c r="I155" s="281"/>
      <c r="J155" s="281"/>
      <c r="K155" s="281"/>
      <c r="L155" s="281"/>
      <c r="N155" s="61">
        <f t="shared" si="76"/>
        <v>0</v>
      </c>
      <c r="O155" s="35">
        <v>0</v>
      </c>
    </row>
    <row r="156" spans="1:22" s="267" customFormat="1" ht="11.25" customHeight="1">
      <c r="B156" s="478" t="s">
        <v>612</v>
      </c>
      <c r="C156" s="291" t="s">
        <v>503</v>
      </c>
      <c r="D156" s="268"/>
      <c r="E156" s="772"/>
      <c r="F156" s="321"/>
      <c r="G156" s="321">
        <f ca="1">G150+G153+G147+G146</f>
        <v>0</v>
      </c>
      <c r="H156" s="321">
        <f t="shared" ref="H156:L156" ca="1" si="86">H150+H153+H147+H146</f>
        <v>0</v>
      </c>
      <c r="I156" s="321">
        <f t="shared" ca="1" si="86"/>
        <v>0</v>
      </c>
      <c r="J156" s="321">
        <f t="shared" ca="1" si="86"/>
        <v>0</v>
      </c>
      <c r="K156" s="321">
        <f t="shared" ca="1" si="86"/>
        <v>0</v>
      </c>
      <c r="L156" s="321">
        <f t="shared" ca="1" si="86"/>
        <v>0</v>
      </c>
      <c r="N156" s="61">
        <f t="shared" si="76"/>
        <v>1</v>
      </c>
      <c r="O156" s="35">
        <v>1</v>
      </c>
      <c r="P156" s="137"/>
      <c r="R156" s="137"/>
      <c r="S156" s="588"/>
      <c r="T156" s="137"/>
      <c r="U156" s="137"/>
      <c r="V156" s="137"/>
    </row>
    <row r="157" spans="1:22" s="267" customFormat="1" ht="11.25" customHeight="1">
      <c r="B157" s="576" t="str">
        <f>VLOOKUP(E157,$E$161:$F$164,2,FALSE)</f>
        <v>Assumed Debt</v>
      </c>
      <c r="C157" s="587" t="s">
        <v>380</v>
      </c>
      <c r="D157" s="464"/>
      <c r="E157" s="586">
        <f>'LBO - Assumptions'!E78</f>
        <v>4</v>
      </c>
      <c r="F157" s="568"/>
      <c r="G157" s="568">
        <f t="shared" ref="G157:L157" ca="1" si="87">-MAX(0,MIN(G156,VLOOKUP($B$157,$D$94:$L$114,G167-2,FALSE)))</f>
        <v>0</v>
      </c>
      <c r="H157" s="568">
        <f t="shared" ca="1" si="87"/>
        <v>0</v>
      </c>
      <c r="I157" s="568">
        <f t="shared" ca="1" si="87"/>
        <v>0</v>
      </c>
      <c r="J157" s="568">
        <f t="shared" ca="1" si="87"/>
        <v>0</v>
      </c>
      <c r="K157" s="568">
        <f t="shared" ca="1" si="87"/>
        <v>0</v>
      </c>
      <c r="L157" s="568">
        <f t="shared" ca="1" si="87"/>
        <v>0</v>
      </c>
      <c r="N157" s="61">
        <f t="shared" si="76"/>
        <v>1</v>
      </c>
      <c r="O157" s="35">
        <v>1</v>
      </c>
    </row>
    <row r="158" spans="1:22" s="267" customFormat="1" ht="11.25" customHeight="1">
      <c r="C158" s="553"/>
      <c r="N158" s="61">
        <f t="shared" si="76"/>
        <v>0</v>
      </c>
      <c r="O158" s="35">
        <v>0</v>
      </c>
    </row>
    <row r="159" spans="1:22" ht="13.8" thickBot="1">
      <c r="A159" s="24"/>
      <c r="B159" s="470" t="s">
        <v>586</v>
      </c>
      <c r="C159" s="559"/>
      <c r="D159" s="470"/>
      <c r="E159" s="470"/>
      <c r="F159" s="470"/>
      <c r="G159" s="470"/>
      <c r="H159" s="470"/>
      <c r="I159" s="470"/>
      <c r="J159" s="470"/>
      <c r="K159" s="470"/>
      <c r="L159" s="470"/>
      <c r="N159" s="61">
        <f t="shared" si="76"/>
        <v>1</v>
      </c>
      <c r="O159" s="35">
        <v>1</v>
      </c>
    </row>
    <row r="160" spans="1:22" s="267" customFormat="1" ht="11.25" customHeight="1">
      <c r="A160" s="137"/>
      <c r="B160" s="583" t="s">
        <v>502</v>
      </c>
      <c r="C160" s="585"/>
      <c r="D160" s="583"/>
      <c r="E160" s="584" t="s">
        <v>501</v>
      </c>
      <c r="F160" s="583" t="s">
        <v>500</v>
      </c>
      <c r="G160" s="582"/>
      <c r="H160" s="582"/>
      <c r="I160" s="582"/>
      <c r="J160" s="582"/>
      <c r="K160" s="582"/>
      <c r="L160" s="582"/>
      <c r="N160" s="61">
        <f t="shared" si="76"/>
        <v>1</v>
      </c>
      <c r="O160" s="35">
        <v>1</v>
      </c>
    </row>
    <row r="161" spans="1:97" s="267" customFormat="1" ht="11.25" customHeight="1">
      <c r="A161" s="137"/>
      <c r="B161" s="137" t="str">
        <f>'LBO - Assumptions'!B75</f>
        <v>Senior Debt</v>
      </c>
      <c r="C161" s="283"/>
      <c r="D161" s="137"/>
      <c r="E161" s="581">
        <f>VLOOKUP(B161,'LBO - Assumptions'!$B$75:$E$78,4,FALSE)</f>
        <v>2</v>
      </c>
      <c r="F161" s="137" t="str">
        <f>B161</f>
        <v>Senior Debt</v>
      </c>
      <c r="G161" s="137"/>
      <c r="H161" s="137"/>
      <c r="I161" s="137"/>
      <c r="J161" s="137"/>
      <c r="K161" s="137"/>
      <c r="L161" s="137"/>
      <c r="N161" s="61">
        <f t="shared" si="76"/>
        <v>1</v>
      </c>
      <c r="O161" s="35">
        <v>1</v>
      </c>
    </row>
    <row r="162" spans="1:97" s="267" customFormat="1" ht="11.25" customHeight="1">
      <c r="A162" s="137"/>
      <c r="B162" s="137" t="str">
        <f>'LBO - Assumptions'!B76</f>
        <v>Junior Debt</v>
      </c>
      <c r="C162" s="283"/>
      <c r="D162" s="137"/>
      <c r="E162" s="581">
        <f>VLOOKUP(B162,'LBO - Assumptions'!$B$75:$E$78,4,FALSE)</f>
        <v>1</v>
      </c>
      <c r="F162" s="137" t="str">
        <f>B162</f>
        <v>Junior Debt</v>
      </c>
      <c r="G162" s="137"/>
      <c r="H162" s="137"/>
      <c r="I162" s="137"/>
      <c r="J162" s="137"/>
      <c r="K162" s="137"/>
      <c r="L162" s="137"/>
      <c r="N162" s="61">
        <f t="shared" si="76"/>
        <v>1</v>
      </c>
      <c r="O162" s="35">
        <v>1</v>
      </c>
    </row>
    <row r="163" spans="1:97" s="267" customFormat="1" ht="11.25" customHeight="1">
      <c r="A163" s="137"/>
      <c r="B163" s="137" t="str">
        <f>'LBO - Assumptions'!B77</f>
        <v>Revolver</v>
      </c>
      <c r="C163" s="283"/>
      <c r="D163" s="137"/>
      <c r="E163" s="581">
        <f>VLOOKUP(B163,'LBO - Assumptions'!$B$75:$E$78,4,FALSE)</f>
        <v>3</v>
      </c>
      <c r="F163" s="137" t="str">
        <f>B163</f>
        <v>Revolver</v>
      </c>
      <c r="G163" s="137"/>
      <c r="H163" s="137"/>
      <c r="I163" s="137"/>
      <c r="J163" s="137"/>
      <c r="K163" s="137"/>
      <c r="L163" s="137"/>
      <c r="N163" s="61">
        <f t="shared" si="76"/>
        <v>1</v>
      </c>
      <c r="O163" s="35">
        <v>1</v>
      </c>
    </row>
    <row r="164" spans="1:97" s="267" customFormat="1" ht="11.25" customHeight="1">
      <c r="A164" s="137"/>
      <c r="B164" s="137" t="str">
        <f>'LBO - Assumptions'!B78</f>
        <v>Assumed Debt</v>
      </c>
      <c r="C164" s="283"/>
      <c r="D164" s="137"/>
      <c r="E164" s="580">
        <f>VLOOKUP(B164,'LBO - Assumptions'!$B$75:$E$78,4,FALSE)</f>
        <v>4</v>
      </c>
      <c r="F164" s="137" t="str">
        <f>B164</f>
        <v>Assumed Debt</v>
      </c>
      <c r="G164" s="137"/>
      <c r="H164" s="137"/>
      <c r="I164" s="137"/>
      <c r="J164" s="137"/>
      <c r="K164" s="137"/>
      <c r="L164" s="137"/>
      <c r="N164" s="61">
        <f t="shared" si="76"/>
        <v>1</v>
      </c>
      <c r="O164" s="35">
        <v>1</v>
      </c>
    </row>
    <row r="165" spans="1:97" s="58" customFormat="1" ht="11.25" customHeight="1">
      <c r="A165" s="279"/>
      <c r="B165" s="62"/>
      <c r="C165" s="230"/>
      <c r="D165" s="62"/>
      <c r="E165" s="62"/>
      <c r="F165" s="62"/>
      <c r="G165" s="62"/>
      <c r="H165" s="62"/>
      <c r="I165" s="62"/>
      <c r="J165" s="62"/>
      <c r="K165" s="62"/>
      <c r="L165" s="62"/>
      <c r="M165" s="62"/>
      <c r="N165" s="61">
        <f t="shared" si="76"/>
        <v>0</v>
      </c>
      <c r="O165" s="35">
        <v>0</v>
      </c>
      <c r="P165" s="495"/>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69"/>
      <c r="AY165" s="69"/>
      <c r="AZ165" s="69"/>
      <c r="BA165" s="69"/>
      <c r="BB165" s="69"/>
      <c r="BC165" s="69"/>
      <c r="BD165" s="69"/>
      <c r="BE165" s="69"/>
      <c r="BF165" s="69"/>
      <c r="BG165" s="69"/>
      <c r="BH165" s="69"/>
      <c r="BI165" s="69"/>
      <c r="BJ165" s="69"/>
      <c r="BK165" s="69"/>
      <c r="BL165" s="69"/>
      <c r="BM165" s="69"/>
      <c r="BN165" s="69"/>
      <c r="BO165" s="69"/>
      <c r="BP165" s="69"/>
      <c r="BQ165" s="69"/>
      <c r="BR165" s="69"/>
      <c r="BS165" s="69"/>
      <c r="BT165" s="69"/>
      <c r="BU165" s="69"/>
      <c r="BV165" s="69"/>
      <c r="BW165" s="69"/>
      <c r="BX165" s="69"/>
      <c r="BY165" s="69"/>
      <c r="BZ165" s="69"/>
      <c r="CA165" s="69"/>
      <c r="CB165" s="69"/>
      <c r="CC165" s="69"/>
      <c r="CD165" s="69"/>
      <c r="CE165" s="69"/>
      <c r="CF165" s="69"/>
      <c r="CG165" s="69"/>
      <c r="CH165" s="69"/>
      <c r="CI165" s="69"/>
      <c r="CJ165" s="69"/>
      <c r="CK165" s="69"/>
      <c r="CL165" s="69"/>
      <c r="CM165" s="69"/>
      <c r="CN165" s="69"/>
      <c r="CO165" s="69"/>
      <c r="CP165" s="69"/>
      <c r="CQ165" s="69"/>
      <c r="CR165" s="69"/>
      <c r="CS165" s="69"/>
    </row>
    <row r="166" spans="1:97" s="267" customFormat="1" ht="10.199999999999999">
      <c r="B166" s="1"/>
      <c r="C166" s="553"/>
      <c r="E166" s="281"/>
      <c r="F166" s="280"/>
      <c r="G166" s="280"/>
      <c r="H166" s="280"/>
      <c r="I166" s="280"/>
      <c r="J166" s="280"/>
      <c r="K166" s="280"/>
      <c r="L166" s="280"/>
      <c r="N166" s="61">
        <f t="shared" si="76"/>
        <v>0</v>
      </c>
      <c r="O166" s="35">
        <v>0</v>
      </c>
    </row>
    <row r="167" spans="1:97" s="267" customFormat="1" ht="10.199999999999999">
      <c r="A167" s="552" t="s">
        <v>487</v>
      </c>
      <c r="B167" s="550">
        <v>1</v>
      </c>
      <c r="C167" s="551">
        <f t="shared" ref="C167:J167" si="88">B167+1</f>
        <v>2</v>
      </c>
      <c r="D167" s="550">
        <f t="shared" si="88"/>
        <v>3</v>
      </c>
      <c r="E167" s="550">
        <f t="shared" si="88"/>
        <v>4</v>
      </c>
      <c r="F167" s="550">
        <f t="shared" si="88"/>
        <v>5</v>
      </c>
      <c r="G167" s="550">
        <f t="shared" si="88"/>
        <v>6</v>
      </c>
      <c r="H167" s="550">
        <f t="shared" si="88"/>
        <v>7</v>
      </c>
      <c r="I167" s="550">
        <f t="shared" si="88"/>
        <v>8</v>
      </c>
      <c r="J167" s="550">
        <f t="shared" si="88"/>
        <v>9</v>
      </c>
      <c r="K167" s="550">
        <f t="shared" ref="K167:L167" si="89">J167+1</f>
        <v>10</v>
      </c>
      <c r="L167" s="550">
        <f t="shared" si="89"/>
        <v>11</v>
      </c>
      <c r="N167" s="61">
        <f t="shared" si="76"/>
        <v>1</v>
      </c>
      <c r="O167" s="35">
        <v>1</v>
      </c>
    </row>
    <row r="168" spans="1:97">
      <c r="E168" s="549"/>
    </row>
    <row r="169" spans="1:97" hidden="1">
      <c r="E169" s="549"/>
    </row>
    <row r="170" spans="1:97" hidden="1">
      <c r="E170" s="549"/>
    </row>
    <row r="171" spans="1:97" hidden="1"/>
    <row r="172" spans="1:97" hidden="1"/>
    <row r="173" spans="1:97" hidden="1"/>
    <row r="174" spans="1:97" hidden="1"/>
    <row r="175" spans="1:97" hidden="1"/>
    <row r="176" spans="1:97"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row r="359"/>
    <row r="360"/>
    <row r="361"/>
  </sheetData>
  <conditionalFormatting sqref="F143 F64 F40:F43 F62">
    <cfRule type="cellIs" dxfId="15" priority="26" stopIfTrue="1" operator="equal">
      <formula>#REF!</formula>
    </cfRule>
  </conditionalFormatting>
  <conditionalFormatting sqref="G64">
    <cfRule type="cellIs" dxfId="14" priority="24" stopIfTrue="1" operator="equal">
      <formula>#REF!</formula>
    </cfRule>
  </conditionalFormatting>
  <conditionalFormatting sqref="G143">
    <cfRule type="cellIs" dxfId="13" priority="21" stopIfTrue="1" operator="equal">
      <formula>#REF!</formula>
    </cfRule>
  </conditionalFormatting>
  <conditionalFormatting sqref="G93">
    <cfRule type="cellIs" dxfId="12" priority="16" stopIfTrue="1" operator="equal">
      <formula>#REF!</formula>
    </cfRule>
  </conditionalFormatting>
  <conditionalFormatting sqref="F114">
    <cfRule type="cellIs" dxfId="11" priority="19" stopIfTrue="1" operator="equal">
      <formula>#REF!</formula>
    </cfRule>
  </conditionalFormatting>
  <conditionalFormatting sqref="G7">
    <cfRule type="cellIs" dxfId="10" priority="12" stopIfTrue="1" operator="equal">
      <formula>#REF!</formula>
    </cfRule>
  </conditionalFormatting>
  <conditionalFormatting sqref="F93">
    <cfRule type="cellIs" dxfId="9" priority="17" stopIfTrue="1" operator="equal">
      <formula>#REF!</formula>
    </cfRule>
  </conditionalFormatting>
  <conditionalFormatting sqref="G114">
    <cfRule type="cellIs" dxfId="8" priority="18" stopIfTrue="1" operator="equal">
      <formula>#REF!</formula>
    </cfRule>
  </conditionalFormatting>
  <conditionalFormatting sqref="F7">
    <cfRule type="cellIs" dxfId="7" priority="13" stopIfTrue="1" operator="equal">
      <formula>#REF!</formula>
    </cfRule>
  </conditionalFormatting>
  <conditionalFormatting sqref="G30">
    <cfRule type="cellIs" dxfId="6" priority="5" stopIfTrue="1" operator="equal">
      <formula>#REF!</formula>
    </cfRule>
  </conditionalFormatting>
  <conditionalFormatting sqref="F30">
    <cfRule type="cellIs" dxfId="5" priority="6" stopIfTrue="1" operator="equal">
      <formula>#REF!</formula>
    </cfRule>
  </conditionalFormatting>
  <conditionalFormatting sqref="G44">
    <cfRule type="cellIs" dxfId="4" priority="3" stopIfTrue="1" operator="equal">
      <formula>#REF!</formula>
    </cfRule>
  </conditionalFormatting>
  <conditionalFormatting sqref="F44">
    <cfRule type="cellIs" dxfId="3" priority="4" stopIfTrue="1" operator="equal">
      <formula>#REF!</formula>
    </cfRule>
  </conditionalFormatting>
  <conditionalFormatting sqref="F46:F50">
    <cfRule type="cellIs" dxfId="2" priority="2" stopIfTrue="1" operator="equal">
      <formula>#REF!</formula>
    </cfRule>
  </conditionalFormatting>
  <conditionalFormatting sqref="N1:O1">
    <cfRule type="cellIs" dxfId="1" priority="1" operator="equal">
      <formula>"Check"</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583EC-57A6-4DCD-804F-1C09EC65BB2E}">
  <sheetPr codeName="Sheet19">
    <tabColor theme="3" tint="-0.499984740745262"/>
    <pageSetUpPr fitToPage="1"/>
  </sheetPr>
  <dimension ref="A1:XFD199"/>
  <sheetViews>
    <sheetView showGridLines="0" tabSelected="1" workbookViewId="0">
      <selection activeCell="N19" sqref="N19"/>
    </sheetView>
  </sheetViews>
  <sheetFormatPr defaultColWidth="0" defaultRowHeight="10.199999999999999" customHeight="1" zeroHeight="1"/>
  <cols>
    <col min="1" max="1" width="2.6640625" style="267" customWidth="1"/>
    <col min="2" max="2" width="22.6640625" style="267" customWidth="1"/>
    <col min="3" max="3" width="9.88671875" style="267" customWidth="1"/>
    <col min="4" max="4" width="68" style="267" customWidth="1"/>
    <col min="5" max="5" width="2.5546875" style="267" customWidth="1"/>
    <col min="6" max="14" width="10.6640625" style="267" hidden="1" customWidth="1"/>
    <col min="15" max="15" width="9.6640625" style="267" hidden="1" customWidth="1"/>
    <col min="16" max="16" width="10" style="267" hidden="1" customWidth="1"/>
    <col min="17" max="17" width="9.109375" style="267" hidden="1" customWidth="1"/>
    <col min="18" max="16384" width="0" style="267" hidden="1"/>
  </cols>
  <sheetData>
    <row r="1" spans="1:97" s="45" customFormat="1" ht="13.2">
      <c r="A1" s="49" t="str">
        <f>'DCF - Assumptions'!$E$8&amp;" | LBO Model - Assumptions Summary"</f>
        <v>Tapestry | LBO Model - Assumptions Summary</v>
      </c>
      <c r="B1" s="498"/>
      <c r="C1" s="497"/>
      <c r="D1" s="497"/>
      <c r="E1" s="497"/>
      <c r="F1" s="497"/>
      <c r="G1" s="497"/>
      <c r="H1" s="497"/>
      <c r="I1" s="497"/>
      <c r="J1" s="497"/>
      <c r="K1" s="47"/>
      <c r="L1" s="497"/>
      <c r="M1" s="497"/>
      <c r="N1" s="497"/>
      <c r="O1" s="497"/>
      <c r="Q1" s="46" t="str">
        <f>IF(S5=S7,"OK","Check")</f>
        <v>OK</v>
      </c>
      <c r="R1" s="46" t="str">
        <f>IF(T5=T7,"OK","Check")</f>
        <v>OK</v>
      </c>
    </row>
    <row r="2" spans="1:97" s="24" customFormat="1" ht="1.95" customHeight="1">
      <c r="A2" s="242"/>
      <c r="B2" s="4"/>
      <c r="C2" s="4"/>
      <c r="D2" s="4"/>
      <c r="E2" s="4"/>
      <c r="F2" s="4"/>
      <c r="G2" s="4"/>
      <c r="H2" s="4"/>
      <c r="I2" s="4"/>
      <c r="J2" s="4"/>
      <c r="K2" s="4"/>
      <c r="L2" s="4"/>
      <c r="M2" s="4"/>
      <c r="N2" s="4"/>
      <c r="O2" s="4"/>
      <c r="P2" s="2"/>
      <c r="Q2" s="679"/>
      <c r="R2" s="679"/>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row>
    <row r="3" spans="1:97" s="176" customFormat="1" ht="3" customHeight="1">
      <c r="A3" s="40"/>
      <c r="B3" s="39"/>
      <c r="C3" s="39"/>
      <c r="D3" s="39"/>
      <c r="E3" s="39"/>
      <c r="F3" s="39"/>
      <c r="G3" s="39"/>
      <c r="H3" s="39"/>
      <c r="I3" s="39"/>
      <c r="J3" s="39"/>
      <c r="K3" s="39"/>
      <c r="L3" s="39"/>
      <c r="M3" s="39"/>
      <c r="N3" s="39"/>
      <c r="O3" s="39"/>
      <c r="P3" s="37"/>
      <c r="Q3" s="38"/>
      <c r="R3" s="38"/>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row>
    <row r="4" spans="1:97" s="495" customFormat="1" ht="11.25" customHeight="1">
      <c r="A4" s="242"/>
      <c r="B4" s="506"/>
      <c r="C4" s="506"/>
      <c r="D4" s="506"/>
      <c r="E4" s="506"/>
      <c r="F4" s="506"/>
      <c r="G4" s="506"/>
      <c r="H4" s="506"/>
      <c r="I4" s="506"/>
      <c r="J4" s="506"/>
      <c r="K4" s="506"/>
      <c r="L4" s="506"/>
      <c r="M4" s="506"/>
      <c r="N4" s="506"/>
      <c r="O4" s="506"/>
      <c r="T4" s="496"/>
    </row>
    <row r="5" spans="1:97" ht="3" customHeight="1">
      <c r="A5" s="463"/>
      <c r="B5" s="62"/>
      <c r="C5" s="62"/>
      <c r="D5" s="62"/>
      <c r="E5" s="62"/>
      <c r="F5" s="62"/>
      <c r="G5" s="62"/>
      <c r="H5" s="62"/>
      <c r="I5" s="62"/>
      <c r="J5" s="62"/>
      <c r="K5" s="62"/>
      <c r="L5" s="62"/>
      <c r="M5" s="62"/>
      <c r="N5" s="62"/>
      <c r="O5" s="62"/>
    </row>
    <row r="6" spans="1:97" ht="14.4">
      <c r="A6"/>
      <c r="B6" s="764" t="s">
        <v>592</v>
      </c>
      <c r="C6" s="746"/>
      <c r="D6" s="747"/>
      <c r="E6" s="468"/>
      <c r="F6" s="468"/>
      <c r="G6" s="468"/>
      <c r="H6" s="468"/>
      <c r="I6" s="468"/>
      <c r="J6" s="468"/>
      <c r="K6" s="468"/>
      <c r="L6" s="468"/>
      <c r="M6" s="468"/>
      <c r="N6" s="468"/>
      <c r="O6" s="468"/>
    </row>
    <row r="7" spans="1:97" ht="14.4">
      <c r="A7"/>
      <c r="B7" s="769" t="s">
        <v>593</v>
      </c>
      <c r="C7" s="770" t="s">
        <v>595</v>
      </c>
      <c r="D7" s="771" t="s">
        <v>290</v>
      </c>
      <c r="E7" s="468"/>
      <c r="F7" s="468"/>
      <c r="G7" s="468"/>
      <c r="H7" s="468"/>
      <c r="I7" s="468"/>
      <c r="J7" s="468"/>
      <c r="K7" s="468"/>
      <c r="L7" s="468"/>
      <c r="M7" s="468"/>
      <c r="N7" s="468"/>
      <c r="O7" s="468"/>
    </row>
    <row r="8" spans="1:97" ht="23.4" customHeight="1">
      <c r="A8" s="677"/>
      <c r="B8" s="719" t="s">
        <v>406</v>
      </c>
      <c r="C8" s="765" t="str">
        <f ca="1">'LBO - Summary'!I43</f>
        <v>NM</v>
      </c>
      <c r="D8" s="720"/>
      <c r="E8" s="494"/>
      <c r="F8" s="494"/>
      <c r="G8" s="62"/>
      <c r="H8" s="537"/>
      <c r="I8" s="494"/>
      <c r="J8" s="494"/>
      <c r="K8" s="494"/>
      <c r="L8" s="494"/>
      <c r="M8" s="494"/>
      <c r="N8" s="494"/>
      <c r="O8" s="494"/>
    </row>
    <row r="9" spans="1:97" ht="23.4" customHeight="1">
      <c r="A9" s="677"/>
      <c r="B9" s="721" t="s">
        <v>585</v>
      </c>
      <c r="C9" s="766" t="str">
        <f ca="1">TEXT('LBO - Assumptions'!F75,"0.0%")&amp;" / "&amp;TEXT('LBO - Assumptions'!F76,"0.0%")</f>
        <v>0.0% / 0.0%</v>
      </c>
      <c r="D9" s="722"/>
      <c r="E9" s="8"/>
      <c r="F9" s="487"/>
      <c r="G9" s="62"/>
      <c r="H9" s="62"/>
      <c r="I9" s="62"/>
      <c r="J9" s="62"/>
      <c r="K9" s="62"/>
      <c r="L9" s="62"/>
      <c r="M9" s="8"/>
      <c r="N9" s="62"/>
      <c r="O9" s="62"/>
    </row>
    <row r="10" spans="1:97" ht="23.4" customHeight="1">
      <c r="A10" s="677"/>
      <c r="B10" s="721" t="s">
        <v>524</v>
      </c>
      <c r="C10" s="766">
        <f ca="1">'LBO - Assumptions'!D33</f>
        <v>0</v>
      </c>
      <c r="D10" s="722"/>
      <c r="E10" s="8"/>
      <c r="F10" s="487"/>
      <c r="G10" s="62"/>
      <c r="H10" s="62"/>
      <c r="I10" s="62"/>
      <c r="J10" s="62"/>
      <c r="K10" s="62"/>
      <c r="L10" s="62"/>
      <c r="M10" s="8"/>
      <c r="N10" s="62"/>
      <c r="O10" s="62"/>
    </row>
    <row r="11" spans="1:97" ht="23.4" customHeight="1">
      <c r="A11" s="677"/>
      <c r="B11" s="723" t="s">
        <v>523</v>
      </c>
      <c r="C11" s="767">
        <f ca="1">'LBO - Assumptions'!F115</f>
        <v>0</v>
      </c>
      <c r="D11" s="724"/>
      <c r="E11" s="8"/>
      <c r="F11" s="487"/>
      <c r="G11" s="62"/>
      <c r="H11" s="62"/>
      <c r="I11" s="62"/>
      <c r="J11" s="62"/>
      <c r="K11" s="62"/>
      <c r="L11" s="62"/>
      <c r="M11" s="8"/>
      <c r="N11" s="62"/>
      <c r="O11" s="62"/>
    </row>
    <row r="12" spans="1:97" ht="23.4" customHeight="1">
      <c r="A12" s="677"/>
      <c r="B12" s="721" t="s">
        <v>583</v>
      </c>
      <c r="C12" s="766">
        <f ca="1">IFERROR('LBO - Financials'!E72,0)</f>
        <v>0</v>
      </c>
      <c r="D12" s="722"/>
      <c r="E12" s="8"/>
      <c r="F12" s="487"/>
      <c r="G12" s="62"/>
      <c r="H12" s="62"/>
      <c r="I12" s="62"/>
      <c r="J12" s="62"/>
      <c r="K12" s="62"/>
      <c r="L12" s="62"/>
      <c r="M12" s="8"/>
      <c r="N12" s="62"/>
      <c r="O12" s="62"/>
    </row>
    <row r="13" spans="1:97" ht="23.4" customHeight="1">
      <c r="A13" s="677"/>
      <c r="B13" s="725" t="s">
        <v>584</v>
      </c>
      <c r="C13" s="768">
        <f ca="1">'LBO - Financials'!E82</f>
        <v>0</v>
      </c>
      <c r="D13" s="726"/>
      <c r="E13" s="494"/>
      <c r="F13" s="494"/>
      <c r="G13" s="62"/>
      <c r="H13" s="537"/>
      <c r="I13" s="494"/>
      <c r="J13" s="494"/>
      <c r="K13" s="494"/>
      <c r="L13" s="494"/>
      <c r="M13" s="494"/>
      <c r="N13" s="494"/>
      <c r="O13" s="494"/>
    </row>
    <row r="14" spans="1:97" ht="12">
      <c r="A14" s="677"/>
      <c r="B14" s="671"/>
      <c r="C14" s="676"/>
      <c r="D14" s="675"/>
      <c r="E14" s="8"/>
      <c r="F14" s="487"/>
      <c r="G14" s="62"/>
      <c r="H14" s="486"/>
      <c r="I14" s="62"/>
      <c r="J14" s="62"/>
      <c r="K14" s="62"/>
      <c r="L14" s="62"/>
      <c r="M14" s="678"/>
      <c r="N14" s="388"/>
      <c r="O14" s="487"/>
    </row>
    <row r="15" spans="1:97" ht="12" hidden="1">
      <c r="A15" s="677"/>
      <c r="B15" s="671"/>
      <c r="C15" s="676"/>
      <c r="D15" s="675"/>
      <c r="E15" s="8"/>
      <c r="F15" s="487"/>
      <c r="G15" s="62"/>
      <c r="H15" s="62"/>
      <c r="I15" s="62"/>
      <c r="J15" s="62"/>
      <c r="K15" s="62"/>
      <c r="L15" s="62"/>
      <c r="M15" s="8"/>
      <c r="N15" s="388"/>
      <c r="O15" s="487"/>
    </row>
    <row r="16" spans="1:97" ht="12" hidden="1">
      <c r="A16" s="677"/>
      <c r="B16" s="671"/>
      <c r="C16" s="676"/>
      <c r="D16" s="675"/>
      <c r="E16" s="32"/>
      <c r="F16" s="516"/>
      <c r="G16" s="62"/>
      <c r="H16" s="33"/>
      <c r="I16" s="33"/>
      <c r="J16" s="33"/>
      <c r="K16" s="33"/>
      <c r="L16" s="33"/>
      <c r="M16" s="32"/>
      <c r="N16" s="516"/>
      <c r="O16" s="487"/>
    </row>
    <row r="17" spans="1:24" ht="14.4" hidden="1">
      <c r="A17"/>
      <c r="B17" s="673"/>
      <c r="C17" s="673"/>
      <c r="D17" s="666"/>
      <c r="E17" s="62"/>
      <c r="F17" s="62"/>
      <c r="G17" s="62"/>
      <c r="H17" s="62"/>
      <c r="I17" s="62"/>
      <c r="J17" s="62"/>
      <c r="K17" s="62"/>
      <c r="L17" s="62"/>
      <c r="M17" s="8"/>
      <c r="N17" s="487"/>
      <c r="O17" s="487"/>
    </row>
    <row r="18" spans="1:24" ht="14.4" hidden="1">
      <c r="A18"/>
      <c r="B18" s="674"/>
      <c r="C18" s="674"/>
      <c r="D18" s="674"/>
      <c r="E18" s="643"/>
      <c r="F18" s="643"/>
      <c r="G18" s="643"/>
      <c r="H18" s="643"/>
      <c r="I18" s="643"/>
      <c r="J18" s="643"/>
      <c r="K18" s="643"/>
      <c r="L18" s="643"/>
      <c r="M18" s="643"/>
      <c r="N18" s="643"/>
      <c r="O18" s="643"/>
    </row>
    <row r="19" spans="1:24" ht="14.4" hidden="1">
      <c r="A19"/>
      <c r="B19" s="673"/>
      <c r="C19" s="666"/>
      <c r="D19" s="666"/>
      <c r="E19" s="62"/>
      <c r="F19" s="62"/>
      <c r="G19" s="62"/>
      <c r="H19" s="62"/>
      <c r="I19" s="8"/>
      <c r="J19" s="8"/>
      <c r="K19" s="8"/>
      <c r="L19" s="8"/>
      <c r="M19" s="8"/>
      <c r="N19" s="8"/>
      <c r="O19" s="8"/>
    </row>
    <row r="20" spans="1:24" ht="14.4" hidden="1">
      <c r="A20"/>
      <c r="B20" s="671"/>
      <c r="C20" s="672"/>
      <c r="D20" s="666"/>
      <c r="E20" s="62"/>
      <c r="F20" s="62"/>
      <c r="G20" s="62"/>
      <c r="H20" s="62"/>
      <c r="I20" s="8"/>
      <c r="J20" s="8"/>
      <c r="K20" s="8"/>
      <c r="L20" s="8"/>
      <c r="M20" s="8"/>
      <c r="N20" s="8"/>
      <c r="O20" s="8"/>
    </row>
    <row r="21" spans="1:24" ht="14.4" hidden="1">
      <c r="A21"/>
      <c r="B21" s="671"/>
      <c r="C21" s="669"/>
      <c r="D21" s="666"/>
      <c r="E21" s="62"/>
      <c r="F21" s="62"/>
      <c r="G21" s="62"/>
      <c r="H21" s="62"/>
      <c r="I21" s="8"/>
      <c r="J21" s="8"/>
      <c r="K21" s="8"/>
      <c r="L21" s="8"/>
      <c r="M21" s="8"/>
      <c r="N21" s="8"/>
      <c r="O21" s="8"/>
    </row>
    <row r="22" spans="1:24" ht="14.4" hidden="1">
      <c r="A22"/>
      <c r="B22" s="671"/>
      <c r="C22" s="670"/>
      <c r="D22" s="666"/>
      <c r="E22" s="62"/>
      <c r="F22" s="62"/>
      <c r="G22" s="62"/>
      <c r="H22" s="62"/>
      <c r="I22" s="8"/>
      <c r="J22" s="8"/>
      <c r="K22" s="8"/>
      <c r="L22" s="8"/>
      <c r="M22" s="8"/>
      <c r="N22" s="8"/>
      <c r="O22" s="8"/>
    </row>
    <row r="23" spans="1:24" ht="14.4" hidden="1">
      <c r="A23"/>
      <c r="B23" s="668"/>
      <c r="C23" s="669"/>
      <c r="D23" s="666"/>
      <c r="E23" s="33"/>
      <c r="F23" s="33"/>
      <c r="G23" s="33"/>
      <c r="H23" s="33"/>
      <c r="I23" s="32"/>
      <c r="J23" s="32"/>
      <c r="K23" s="32"/>
      <c r="L23" s="32"/>
      <c r="M23" s="32"/>
      <c r="N23" s="32"/>
      <c r="O23" s="32"/>
    </row>
    <row r="24" spans="1:24" ht="13.2" hidden="1" customHeight="1">
      <c r="A24"/>
      <c r="B24" s="668"/>
      <c r="C24" s="667"/>
      <c r="D24" s="666"/>
      <c r="E24" s="33"/>
      <c r="F24" s="33"/>
      <c r="G24" s="33"/>
      <c r="H24" s="33"/>
      <c r="I24" s="32"/>
      <c r="J24" s="32"/>
      <c r="K24" s="32"/>
      <c r="L24" s="32"/>
      <c r="M24" s="32"/>
      <c r="N24" s="32"/>
      <c r="O24" s="32"/>
    </row>
    <row r="25" spans="1:24" ht="14.4" hidden="1">
      <c r="A25"/>
      <c r="B25" s="665"/>
      <c r="C25" s="665"/>
      <c r="D25" s="664"/>
      <c r="E25" s="486"/>
      <c r="F25" s="33"/>
      <c r="G25" s="33"/>
      <c r="H25" s="33"/>
      <c r="I25" s="32"/>
      <c r="J25" s="483"/>
      <c r="K25" s="483"/>
      <c r="L25" s="483"/>
      <c r="M25" s="483"/>
      <c r="N25" s="483"/>
      <c r="O25" s="483"/>
    </row>
    <row r="26" spans="1:24" ht="14.4" hidden="1">
      <c r="A26"/>
      <c r="B26" s="664"/>
      <c r="C26" s="664"/>
      <c r="D26" s="664"/>
      <c r="E26" s="486"/>
      <c r="F26" s="33"/>
      <c r="G26" s="33"/>
      <c r="H26" s="33"/>
      <c r="I26" s="32"/>
      <c r="J26" s="483"/>
      <c r="K26" s="483"/>
      <c r="L26" s="483"/>
      <c r="M26" s="483"/>
      <c r="N26" s="483"/>
      <c r="O26" s="483"/>
    </row>
    <row r="27" spans="1:24" hidden="1">
      <c r="A27" s="463"/>
      <c r="B27" s="486"/>
      <c r="C27" s="33"/>
      <c r="D27" s="33"/>
      <c r="E27" s="486"/>
      <c r="F27" s="33"/>
      <c r="G27" s="33"/>
      <c r="H27" s="33"/>
      <c r="I27" s="483"/>
      <c r="J27" s="483"/>
      <c r="K27" s="483"/>
      <c r="L27" s="483"/>
      <c r="M27" s="483"/>
      <c r="N27" s="483"/>
      <c r="O27" s="483"/>
    </row>
    <row r="28" spans="1:24" hidden="1">
      <c r="A28" s="463"/>
      <c r="B28" s="486"/>
      <c r="C28" s="33"/>
      <c r="D28" s="33"/>
      <c r="E28" s="486"/>
      <c r="F28" s="33"/>
      <c r="G28" s="33"/>
      <c r="H28" s="33"/>
      <c r="I28" s="483"/>
      <c r="J28" s="483"/>
      <c r="K28" s="483"/>
      <c r="L28" s="483"/>
      <c r="M28" s="483"/>
      <c r="N28" s="483"/>
      <c r="O28" s="483"/>
    </row>
    <row r="29" spans="1:24" hidden="1">
      <c r="A29" s="463"/>
      <c r="B29" s="33"/>
      <c r="C29" s="33"/>
      <c r="D29" s="33"/>
      <c r="E29" s="33"/>
      <c r="F29" s="33"/>
      <c r="G29" s="33"/>
      <c r="H29" s="33"/>
      <c r="I29" s="32"/>
      <c r="J29" s="482"/>
      <c r="K29" s="482"/>
      <c r="L29" s="482"/>
      <c r="M29" s="482"/>
      <c r="N29" s="482"/>
      <c r="O29" s="482"/>
    </row>
    <row r="30" spans="1:24" ht="11.25" hidden="1" customHeight="1">
      <c r="A30" s="463"/>
      <c r="B30" s="643"/>
      <c r="C30" s="643"/>
      <c r="D30" s="643"/>
      <c r="E30" s="643"/>
      <c r="F30" s="643"/>
      <c r="G30" s="643"/>
      <c r="H30" s="643"/>
      <c r="I30" s="643"/>
      <c r="J30" s="643"/>
      <c r="K30" s="643"/>
      <c r="L30" s="643"/>
      <c r="M30" s="643"/>
      <c r="N30" s="643"/>
      <c r="O30" s="643"/>
    </row>
    <row r="31" spans="1:24" ht="11.25" hidden="1" customHeight="1">
      <c r="A31" s="463"/>
      <c r="B31" s="62"/>
      <c r="C31" s="33"/>
      <c r="D31" s="33"/>
      <c r="E31" s="33"/>
      <c r="F31" s="33"/>
      <c r="G31" s="33"/>
      <c r="H31" s="62"/>
      <c r="I31" s="8"/>
      <c r="J31" s="8"/>
      <c r="K31" s="8"/>
      <c r="L31" s="8"/>
      <c r="M31" s="8"/>
      <c r="N31" s="8"/>
      <c r="O31" s="32"/>
      <c r="Q31"/>
      <c r="R31"/>
      <c r="S31"/>
      <c r="T31"/>
      <c r="U31"/>
      <c r="V31"/>
      <c r="W31"/>
      <c r="X31"/>
    </row>
    <row r="32" spans="1:24" ht="11.25" hidden="1" customHeight="1">
      <c r="A32" s="463"/>
      <c r="B32" s="62"/>
      <c r="C32" s="33"/>
      <c r="D32" s="33"/>
      <c r="E32" s="33"/>
      <c r="F32" s="33"/>
      <c r="G32" s="33"/>
      <c r="H32" s="62"/>
      <c r="I32" s="8"/>
      <c r="J32" s="8"/>
      <c r="K32" s="8"/>
      <c r="L32" s="8"/>
      <c r="M32" s="8"/>
      <c r="N32" s="8"/>
      <c r="O32" s="8"/>
      <c r="Q32"/>
      <c r="R32"/>
      <c r="S32"/>
      <c r="T32"/>
      <c r="U32"/>
      <c r="V32"/>
      <c r="W32"/>
      <c r="X32"/>
    </row>
    <row r="33" spans="1:24" ht="11.25" hidden="1" customHeight="1">
      <c r="A33" s="463"/>
      <c r="B33" s="62"/>
      <c r="C33" s="62"/>
      <c r="D33" s="62"/>
      <c r="E33" s="62"/>
      <c r="F33" s="62"/>
      <c r="G33" s="62"/>
      <c r="H33" s="62"/>
      <c r="I33" s="8"/>
      <c r="J33" s="8"/>
      <c r="K33" s="8"/>
      <c r="L33" s="8"/>
      <c r="M33" s="8"/>
      <c r="N33" s="8"/>
      <c r="O33" s="8"/>
      <c r="Q33"/>
      <c r="R33"/>
      <c r="S33"/>
      <c r="T33"/>
      <c r="U33"/>
      <c r="V33"/>
      <c r="W33"/>
      <c r="X33"/>
    </row>
    <row r="34" spans="1:24" ht="11.25" hidden="1" customHeight="1">
      <c r="A34" s="463"/>
      <c r="B34" s="62"/>
      <c r="C34" s="62"/>
      <c r="D34" s="62"/>
      <c r="E34" s="62"/>
      <c r="F34" s="62"/>
      <c r="G34" s="62"/>
      <c r="H34" s="62"/>
      <c r="I34" s="8"/>
      <c r="J34" s="8"/>
      <c r="K34" s="8"/>
      <c r="L34" s="8"/>
      <c r="M34" s="8"/>
      <c r="N34" s="8"/>
      <c r="O34" s="8"/>
      <c r="Q34"/>
      <c r="R34"/>
      <c r="S34"/>
      <c r="T34"/>
      <c r="U34"/>
      <c r="V34"/>
      <c r="W34"/>
      <c r="X34"/>
    </row>
    <row r="35" spans="1:24" ht="11.25" hidden="1" customHeight="1">
      <c r="A35" s="463"/>
      <c r="B35" s="62"/>
      <c r="C35" s="62"/>
      <c r="D35" s="62"/>
      <c r="E35" s="62"/>
      <c r="F35" s="62"/>
      <c r="G35" s="62"/>
      <c r="H35" s="62"/>
      <c r="I35" s="8"/>
      <c r="J35" s="8"/>
      <c r="K35" s="8"/>
      <c r="L35" s="8"/>
      <c r="M35" s="8"/>
      <c r="N35" s="8"/>
      <c r="O35" s="8"/>
      <c r="Q35"/>
      <c r="R35"/>
      <c r="S35"/>
      <c r="T35"/>
      <c r="U35"/>
      <c r="V35"/>
      <c r="W35"/>
      <c r="X35"/>
    </row>
    <row r="36" spans="1:24" ht="11.25" hidden="1" customHeight="1" collapsed="1">
      <c r="A36" s="463"/>
      <c r="B36" s="33"/>
      <c r="C36" s="481"/>
      <c r="D36" s="481"/>
      <c r="E36" s="481"/>
      <c r="F36" s="33"/>
      <c r="G36" s="33"/>
      <c r="H36" s="480"/>
      <c r="I36" s="32"/>
      <c r="J36" s="32"/>
      <c r="K36" s="32"/>
      <c r="L36" s="32"/>
      <c r="M36" s="32"/>
      <c r="N36" s="32"/>
      <c r="O36" s="32"/>
      <c r="Q36"/>
      <c r="R36"/>
      <c r="S36"/>
      <c r="T36"/>
      <c r="U36"/>
      <c r="V36"/>
      <c r="W36"/>
      <c r="X36"/>
    </row>
    <row r="37" spans="1:24" s="58" customFormat="1" ht="11.25" hidden="1" customHeight="1">
      <c r="A37" s="440"/>
      <c r="B37" s="33"/>
      <c r="C37" s="481"/>
      <c r="D37" s="481"/>
      <c r="E37" s="481"/>
      <c r="F37" s="33"/>
      <c r="G37" s="33"/>
      <c r="H37" s="480"/>
      <c r="I37" s="32"/>
      <c r="J37" s="32"/>
      <c r="K37" s="32"/>
      <c r="L37" s="32"/>
      <c r="M37" s="32"/>
      <c r="N37" s="32"/>
      <c r="O37" s="32"/>
      <c r="Q37" s="479"/>
      <c r="R37" s="479"/>
      <c r="S37" s="479"/>
      <c r="T37" s="479"/>
      <c r="U37" s="479"/>
      <c r="V37" s="479"/>
      <c r="W37" s="479"/>
      <c r="X37" s="479"/>
    </row>
    <row r="38" spans="1:24" ht="11.25" hidden="1" customHeight="1">
      <c r="A38" s="463"/>
      <c r="B38" s="469"/>
      <c r="C38" s="468"/>
      <c r="D38" s="468"/>
      <c r="E38" s="468"/>
      <c r="F38" s="468"/>
      <c r="G38" s="468"/>
      <c r="H38" s="468"/>
      <c r="I38" s="468"/>
      <c r="J38" s="468"/>
      <c r="K38" s="468"/>
      <c r="L38" s="468"/>
      <c r="M38" s="468"/>
      <c r="N38" s="468"/>
      <c r="O38" s="62"/>
      <c r="Q38"/>
      <c r="R38"/>
      <c r="S38"/>
      <c r="T38"/>
      <c r="U38"/>
      <c r="V38"/>
      <c r="W38"/>
      <c r="X38"/>
    </row>
    <row r="39" spans="1:24" ht="11.25" hidden="1" customHeight="1">
      <c r="A39" s="463"/>
      <c r="B39" s="33"/>
      <c r="C39" s="33"/>
      <c r="D39" s="33"/>
      <c r="E39" s="33"/>
      <c r="F39" s="33"/>
      <c r="G39" s="33"/>
      <c r="H39" s="32"/>
      <c r="I39" s="32"/>
      <c r="J39" s="32"/>
      <c r="K39" s="32"/>
      <c r="L39" s="32"/>
      <c r="M39" s="32"/>
      <c r="N39" s="32"/>
      <c r="O39" s="62"/>
      <c r="Q39"/>
      <c r="R39"/>
      <c r="S39"/>
      <c r="T39"/>
      <c r="U39"/>
      <c r="V39"/>
      <c r="W39"/>
      <c r="X39"/>
    </row>
    <row r="40" spans="1:24" s="2" customFormat="1" ht="16.2" hidden="1" customHeight="1">
      <c r="B40" s="29"/>
      <c r="C40" s="29"/>
      <c r="D40" s="29"/>
      <c r="E40" s="29"/>
      <c r="F40" s="29"/>
      <c r="G40" s="29"/>
      <c r="H40" s="29"/>
      <c r="I40" s="29"/>
      <c r="J40" s="31"/>
      <c r="K40" s="31"/>
      <c r="L40" s="31"/>
      <c r="M40" s="31"/>
      <c r="N40" s="31"/>
      <c r="O40" s="506"/>
      <c r="Q40"/>
      <c r="R40"/>
      <c r="S40"/>
      <c r="T40"/>
      <c r="U40"/>
      <c r="V40"/>
      <c r="W40"/>
      <c r="X40"/>
    </row>
    <row r="41" spans="1:24" s="2" customFormat="1" ht="16.2" hidden="1" customHeight="1">
      <c r="B41" s="643"/>
      <c r="C41" s="494"/>
      <c r="D41" s="494"/>
      <c r="E41" s="494"/>
      <c r="F41" s="494"/>
      <c r="G41" s="494"/>
      <c r="H41" s="494"/>
      <c r="I41" s="652"/>
      <c r="J41" s="652"/>
      <c r="K41" s="652"/>
      <c r="L41" s="652"/>
      <c r="M41" s="652"/>
      <c r="N41" s="652"/>
      <c r="O41" s="506"/>
      <c r="Q41"/>
      <c r="R41"/>
      <c r="S41"/>
      <c r="T41"/>
      <c r="U41"/>
      <c r="V41"/>
      <c r="W41"/>
      <c r="X41"/>
    </row>
    <row r="42" spans="1:24" s="2" customFormat="1" ht="16.2" hidden="1" customHeight="1">
      <c r="B42" s="62"/>
      <c r="C42" s="62"/>
      <c r="D42" s="62"/>
      <c r="E42" s="8"/>
      <c r="F42" s="8"/>
      <c r="G42" s="8"/>
      <c r="H42" s="8"/>
      <c r="I42" s="8"/>
      <c r="J42" s="8"/>
      <c r="K42" s="8"/>
      <c r="L42" s="8"/>
      <c r="M42" s="8"/>
      <c r="N42" s="8"/>
      <c r="O42" s="506"/>
      <c r="Q42"/>
      <c r="R42"/>
      <c r="S42"/>
      <c r="T42"/>
      <c r="U42"/>
      <c r="V42"/>
      <c r="W42"/>
      <c r="X42"/>
    </row>
    <row r="43" spans="1:24" s="2" customFormat="1" ht="16.2" hidden="1" customHeight="1">
      <c r="B43" s="62"/>
      <c r="C43" s="62"/>
      <c r="D43" s="62"/>
      <c r="E43" s="8"/>
      <c r="F43" s="8"/>
      <c r="G43" s="8"/>
      <c r="H43" s="8"/>
      <c r="I43" s="8"/>
      <c r="J43" s="8"/>
      <c r="K43" s="8"/>
      <c r="L43" s="8"/>
      <c r="M43" s="8"/>
      <c r="N43" s="8"/>
      <c r="O43" s="506"/>
    </row>
    <row r="44" spans="1:24" s="2" customFormat="1" ht="16.2" hidden="1" customHeight="1">
      <c r="B44" s="33"/>
      <c r="C44" s="33"/>
      <c r="D44" s="33"/>
      <c r="E44" s="32"/>
      <c r="F44" s="32"/>
      <c r="G44" s="32"/>
      <c r="H44" s="32"/>
      <c r="I44" s="32"/>
      <c r="J44" s="32"/>
      <c r="K44" s="32"/>
      <c r="L44" s="32"/>
      <c r="M44" s="32"/>
      <c r="N44" s="32"/>
      <c r="O44" s="506"/>
    </row>
    <row r="45" spans="1:24" s="2" customFormat="1" ht="16.2" hidden="1" customHeight="1">
      <c r="B45" s="486"/>
      <c r="C45" s="663"/>
      <c r="D45" s="663"/>
      <c r="E45" s="662"/>
      <c r="F45" s="662"/>
      <c r="G45" s="662"/>
      <c r="H45" s="662"/>
      <c r="I45" s="662"/>
      <c r="J45" s="662"/>
      <c r="K45" s="662"/>
      <c r="L45" s="662"/>
      <c r="M45" s="662"/>
      <c r="N45" s="662"/>
      <c r="O45" s="506"/>
    </row>
    <row r="46" spans="1:24" s="2" customFormat="1" ht="16.2" hidden="1" customHeight="1">
      <c r="B46" s="62"/>
      <c r="C46" s="62"/>
      <c r="D46" s="62"/>
      <c r="E46" s="8"/>
      <c r="F46" s="8"/>
      <c r="G46" s="8"/>
      <c r="H46" s="8"/>
      <c r="I46" s="8"/>
      <c r="J46" s="8"/>
      <c r="K46" s="8"/>
      <c r="L46" s="8"/>
      <c r="M46" s="8"/>
      <c r="N46" s="8"/>
      <c r="O46" s="506"/>
    </row>
    <row r="47" spans="1:24" s="2" customFormat="1" ht="16.2" hidden="1" customHeight="1">
      <c r="B47" s="62"/>
      <c r="C47" s="62"/>
      <c r="D47" s="62"/>
      <c r="E47" s="8"/>
      <c r="F47" s="8"/>
      <c r="G47" s="8"/>
      <c r="H47" s="8"/>
      <c r="I47" s="8"/>
      <c r="J47" s="8"/>
      <c r="K47" s="8"/>
      <c r="L47" s="8"/>
      <c r="M47" s="8"/>
      <c r="N47" s="8"/>
      <c r="O47" s="506"/>
    </row>
    <row r="48" spans="1:24" s="2" customFormat="1" ht="16.2" hidden="1" customHeight="1">
      <c r="B48" s="62"/>
      <c r="C48" s="62"/>
      <c r="D48" s="62"/>
      <c r="E48" s="8"/>
      <c r="F48" s="8"/>
      <c r="G48" s="8"/>
      <c r="H48" s="8"/>
      <c r="I48" s="8"/>
      <c r="J48" s="8"/>
      <c r="K48" s="8"/>
      <c r="L48" s="8"/>
      <c r="M48" s="8"/>
      <c r="N48" s="8"/>
      <c r="O48" s="506"/>
    </row>
    <row r="49" spans="2:15" s="2" customFormat="1" ht="16.2" hidden="1" customHeight="1">
      <c r="B49" s="33"/>
      <c r="C49" s="33"/>
      <c r="D49" s="33"/>
      <c r="E49" s="32"/>
      <c r="F49" s="32"/>
      <c r="G49" s="32"/>
      <c r="H49" s="32"/>
      <c r="I49" s="32"/>
      <c r="J49" s="32"/>
      <c r="K49" s="32"/>
      <c r="L49" s="32"/>
      <c r="M49" s="32"/>
      <c r="N49" s="32"/>
      <c r="O49" s="506"/>
    </row>
    <row r="50" spans="2:15" s="2" customFormat="1" ht="16.2" hidden="1" customHeight="1">
      <c r="B50" s="62"/>
      <c r="C50" s="62"/>
      <c r="D50" s="62"/>
      <c r="E50" s="8"/>
      <c r="F50" s="8"/>
      <c r="G50" s="8"/>
      <c r="H50" s="8"/>
      <c r="I50" s="8"/>
      <c r="J50" s="8"/>
      <c r="K50" s="8"/>
      <c r="L50" s="8"/>
      <c r="M50" s="8"/>
      <c r="N50" s="8"/>
      <c r="O50" s="506"/>
    </row>
    <row r="51" spans="2:15" s="2" customFormat="1" ht="16.2" hidden="1" customHeight="1">
      <c r="B51" s="33"/>
      <c r="C51" s="32"/>
      <c r="D51" s="32"/>
      <c r="E51" s="32"/>
      <c r="F51" s="32"/>
      <c r="G51" s="32"/>
      <c r="H51" s="32"/>
      <c r="I51" s="32"/>
      <c r="J51" s="32"/>
      <c r="K51" s="32"/>
      <c r="L51" s="32"/>
      <c r="M51" s="32"/>
      <c r="N51" s="32"/>
      <c r="O51" s="506"/>
    </row>
    <row r="52" spans="2:15" s="2" customFormat="1" ht="16.2" hidden="1" customHeight="1">
      <c r="B52" s="486"/>
      <c r="C52" s="663"/>
      <c r="D52" s="663"/>
      <c r="E52" s="662"/>
      <c r="F52" s="662"/>
      <c r="G52" s="662"/>
      <c r="H52" s="662"/>
      <c r="I52" s="662"/>
      <c r="J52" s="662"/>
      <c r="K52" s="662"/>
      <c r="L52" s="662"/>
      <c r="M52" s="662"/>
      <c r="N52" s="662"/>
      <c r="O52" s="506"/>
    </row>
    <row r="53" spans="2:15" s="2" customFormat="1" ht="16.2" hidden="1" customHeight="1">
      <c r="B53" s="486"/>
      <c r="C53" s="663"/>
      <c r="D53" s="663"/>
      <c r="E53" s="662"/>
      <c r="F53" s="662"/>
      <c r="G53" s="662"/>
      <c r="H53" s="662"/>
      <c r="I53" s="662"/>
      <c r="J53" s="662"/>
      <c r="K53" s="662"/>
      <c r="L53" s="662"/>
      <c r="M53" s="662"/>
      <c r="N53" s="662"/>
      <c r="O53" s="506"/>
    </row>
    <row r="54" spans="2:15" s="2" customFormat="1" ht="13.2" hidden="1">
      <c r="B54" s="486"/>
      <c r="C54" s="657"/>
      <c r="D54" s="657"/>
      <c r="E54" s="661"/>
      <c r="F54" s="661"/>
      <c r="G54" s="661"/>
      <c r="H54" s="661"/>
      <c r="I54" s="661"/>
      <c r="J54" s="661"/>
      <c r="K54" s="661"/>
      <c r="L54" s="661"/>
      <c r="M54" s="661"/>
      <c r="N54" s="661"/>
      <c r="O54" s="506"/>
    </row>
    <row r="55" spans="2:15" s="2" customFormat="1" ht="13.2" hidden="1">
      <c r="B55" s="62"/>
      <c r="C55" s="62"/>
      <c r="D55" s="62"/>
      <c r="E55" s="8"/>
      <c r="F55" s="8"/>
      <c r="G55" s="8"/>
      <c r="H55" s="8"/>
      <c r="I55" s="8"/>
      <c r="J55" s="8"/>
      <c r="K55" s="8"/>
      <c r="L55" s="8"/>
      <c r="M55" s="8"/>
      <c r="N55" s="8"/>
      <c r="O55" s="506"/>
    </row>
    <row r="56" spans="2:15" s="2" customFormat="1" ht="13.2" hidden="1">
      <c r="B56" s="62"/>
      <c r="C56" s="62"/>
      <c r="D56" s="62"/>
      <c r="E56" s="8"/>
      <c r="F56" s="8"/>
      <c r="G56" s="8"/>
      <c r="H56" s="8"/>
      <c r="I56" s="8"/>
      <c r="J56" s="8"/>
      <c r="K56" s="8"/>
      <c r="L56" s="8"/>
      <c r="M56" s="8"/>
      <c r="N56" s="8"/>
      <c r="O56" s="506"/>
    </row>
    <row r="57" spans="2:15" s="2" customFormat="1" ht="13.2" hidden="1" collapsed="1">
      <c r="B57" s="62"/>
      <c r="C57" s="62"/>
      <c r="D57" s="62"/>
      <c r="E57" s="8"/>
      <c r="F57" s="8"/>
      <c r="G57" s="8"/>
      <c r="H57" s="8"/>
      <c r="I57" s="8"/>
      <c r="J57" s="8"/>
      <c r="K57" s="8"/>
      <c r="L57" s="8"/>
      <c r="M57" s="8"/>
      <c r="N57" s="8"/>
      <c r="O57" s="506"/>
    </row>
    <row r="58" spans="2:15" s="2" customFormat="1" ht="11.25" hidden="1" customHeight="1">
      <c r="B58" s="62"/>
      <c r="C58" s="62"/>
      <c r="D58" s="62"/>
      <c r="E58" s="8"/>
      <c r="F58" s="8"/>
      <c r="G58" s="8"/>
      <c r="H58" s="8"/>
      <c r="I58" s="8"/>
      <c r="J58" s="8"/>
      <c r="K58" s="8"/>
      <c r="L58" s="8"/>
      <c r="M58" s="8"/>
      <c r="N58" s="8"/>
      <c r="O58" s="506"/>
    </row>
    <row r="59" spans="2:15" s="2" customFormat="1" ht="11.25" hidden="1" customHeight="1">
      <c r="B59" s="486"/>
      <c r="C59" s="62"/>
      <c r="D59" s="62"/>
      <c r="E59" s="660"/>
      <c r="F59" s="660"/>
      <c r="G59" s="660"/>
      <c r="H59" s="660"/>
      <c r="I59" s="660"/>
      <c r="J59" s="660"/>
      <c r="K59" s="660"/>
      <c r="L59" s="660"/>
      <c r="M59" s="660"/>
      <c r="N59" s="660"/>
      <c r="O59" s="506"/>
    </row>
    <row r="60" spans="2:15" s="2" customFormat="1" ht="4.2" hidden="1" customHeight="1">
      <c r="B60" s="62"/>
      <c r="C60" s="62"/>
      <c r="D60" s="62"/>
      <c r="E60" s="8"/>
      <c r="F60" s="8"/>
      <c r="G60" s="8"/>
      <c r="H60" s="8"/>
      <c r="I60" s="8"/>
      <c r="J60" s="8"/>
      <c r="K60" s="8"/>
      <c r="L60" s="8"/>
      <c r="M60" s="8"/>
      <c r="N60" s="8"/>
      <c r="O60" s="506"/>
    </row>
    <row r="61" spans="2:15" s="2" customFormat="1" ht="11.25" hidden="1" customHeight="1">
      <c r="B61" s="62"/>
      <c r="C61" s="62"/>
      <c r="D61" s="62"/>
      <c r="E61" s="8"/>
      <c r="F61" s="8"/>
      <c r="G61" s="8"/>
      <c r="H61" s="8"/>
      <c r="I61" s="8"/>
      <c r="J61" s="8"/>
      <c r="K61" s="8"/>
      <c r="L61" s="8"/>
      <c r="M61" s="8"/>
      <c r="N61" s="8"/>
      <c r="O61" s="506"/>
    </row>
    <row r="62" spans="2:15" s="2" customFormat="1" ht="11.25" hidden="1" customHeight="1">
      <c r="B62" s="486"/>
      <c r="C62" s="62"/>
      <c r="D62" s="62"/>
      <c r="E62" s="660"/>
      <c r="F62" s="660"/>
      <c r="G62" s="660"/>
      <c r="H62" s="660"/>
      <c r="I62" s="660"/>
      <c r="J62" s="660"/>
      <c r="K62" s="660"/>
      <c r="L62" s="660"/>
      <c r="M62" s="660"/>
      <c r="N62" s="660"/>
      <c r="O62" s="506"/>
    </row>
    <row r="63" spans="2:15" s="2" customFormat="1" ht="4.2" hidden="1" customHeight="1">
      <c r="B63" s="486"/>
      <c r="C63" s="62"/>
      <c r="D63" s="62"/>
      <c r="E63" s="659"/>
      <c r="F63" s="659"/>
      <c r="G63" s="659"/>
      <c r="H63" s="659"/>
      <c r="I63" s="659"/>
      <c r="J63" s="659"/>
      <c r="K63" s="659"/>
      <c r="L63" s="659"/>
      <c r="M63" s="659"/>
      <c r="N63" s="659"/>
      <c r="O63" s="506"/>
    </row>
    <row r="64" spans="2:15" s="2" customFormat="1" ht="11.25" hidden="1" customHeight="1">
      <c r="B64" s="62"/>
      <c r="C64" s="62"/>
      <c r="D64" s="62"/>
      <c r="E64" s="8"/>
      <c r="F64" s="8"/>
      <c r="G64" s="8"/>
      <c r="H64" s="8"/>
      <c r="I64" s="8"/>
      <c r="J64" s="8"/>
      <c r="K64" s="8"/>
      <c r="L64" s="8"/>
      <c r="M64" s="8"/>
      <c r="N64" s="8"/>
      <c r="O64" s="506"/>
    </row>
    <row r="65" spans="1:17" s="2" customFormat="1" ht="11.25" hidden="1" customHeight="1">
      <c r="B65" s="62"/>
      <c r="C65" s="62"/>
      <c r="D65" s="62"/>
      <c r="E65" s="8"/>
      <c r="F65" s="8"/>
      <c r="G65" s="8"/>
      <c r="H65" s="8"/>
      <c r="I65" s="8"/>
      <c r="J65" s="8"/>
      <c r="K65" s="8"/>
      <c r="L65" s="8"/>
      <c r="M65" s="8"/>
      <c r="N65" s="8"/>
      <c r="O65" s="506"/>
    </row>
    <row r="66" spans="1:17" s="2" customFormat="1" ht="11.25" hidden="1" customHeight="1">
      <c r="B66" s="62"/>
      <c r="C66" s="62"/>
      <c r="D66" s="62"/>
      <c r="E66" s="8"/>
      <c r="F66" s="8"/>
      <c r="G66" s="8"/>
      <c r="H66" s="8"/>
      <c r="I66" s="8"/>
      <c r="J66" s="8"/>
      <c r="K66" s="8"/>
      <c r="L66" s="8"/>
      <c r="M66" s="8"/>
      <c r="N66" s="8"/>
      <c r="O66" s="506"/>
    </row>
    <row r="67" spans="1:17" ht="11.25" hidden="1" customHeight="1">
      <c r="A67" s="463"/>
      <c r="B67" s="33"/>
      <c r="C67" s="32"/>
      <c r="D67" s="32"/>
      <c r="E67" s="32"/>
      <c r="F67" s="32"/>
      <c r="G67" s="32"/>
      <c r="H67" s="32"/>
      <c r="I67" s="32"/>
      <c r="J67" s="32"/>
      <c r="K67" s="32"/>
      <c r="L67" s="32"/>
      <c r="M67" s="32"/>
      <c r="N67" s="32"/>
      <c r="O67" s="62"/>
    </row>
    <row r="68" spans="1:17" ht="11.25" hidden="1" customHeight="1">
      <c r="A68" s="463"/>
      <c r="B68" s="62"/>
      <c r="C68" s="8"/>
      <c r="D68" s="8"/>
      <c r="E68" s="8"/>
      <c r="F68" s="8"/>
      <c r="G68" s="8"/>
      <c r="H68" s="8"/>
      <c r="I68" s="8"/>
      <c r="J68" s="8"/>
      <c r="K68" s="8"/>
      <c r="L68" s="8"/>
      <c r="M68" s="8"/>
      <c r="N68" s="8"/>
      <c r="O68" s="62"/>
    </row>
    <row r="69" spans="1:17" ht="11.25" hidden="1" customHeight="1">
      <c r="A69" s="463"/>
      <c r="B69" s="62"/>
      <c r="C69" s="8"/>
      <c r="D69" s="8"/>
      <c r="E69" s="8"/>
      <c r="F69" s="8"/>
      <c r="G69" s="8"/>
      <c r="H69" s="8"/>
      <c r="I69" s="8"/>
      <c r="J69" s="8"/>
      <c r="K69" s="8"/>
      <c r="L69" s="8"/>
      <c r="M69" s="8"/>
      <c r="N69" s="8"/>
      <c r="O69" s="62"/>
    </row>
    <row r="70" spans="1:17" ht="11.25" hidden="1" customHeight="1">
      <c r="A70" s="463"/>
      <c r="B70" s="62"/>
      <c r="C70" s="8"/>
      <c r="D70" s="8"/>
      <c r="E70" s="8"/>
      <c r="F70" s="8"/>
      <c r="G70" s="8"/>
      <c r="H70" s="8"/>
      <c r="I70" s="8"/>
      <c r="J70" s="8"/>
      <c r="K70" s="8"/>
      <c r="L70" s="8"/>
      <c r="M70" s="8"/>
      <c r="N70" s="8"/>
      <c r="O70" s="62"/>
    </row>
    <row r="71" spans="1:17" ht="11.25" hidden="1" customHeight="1">
      <c r="A71" s="463"/>
      <c r="B71" s="62"/>
      <c r="C71" s="8"/>
      <c r="D71" s="8"/>
      <c r="E71" s="8"/>
      <c r="F71" s="8"/>
      <c r="G71" s="8"/>
      <c r="H71" s="8"/>
      <c r="I71" s="8"/>
      <c r="J71" s="8"/>
      <c r="K71" s="8"/>
      <c r="L71" s="8"/>
      <c r="M71" s="8"/>
      <c r="N71" s="8"/>
      <c r="O71" s="62"/>
    </row>
    <row r="72" spans="1:17" ht="11.25" hidden="1" customHeight="1">
      <c r="A72" s="463"/>
      <c r="B72" s="33"/>
      <c r="C72" s="32"/>
      <c r="D72" s="32"/>
      <c r="E72" s="32"/>
      <c r="F72" s="32"/>
      <c r="G72" s="32"/>
      <c r="H72" s="32"/>
      <c r="I72" s="32"/>
      <c r="J72" s="32"/>
      <c r="K72" s="32"/>
      <c r="L72" s="32"/>
      <c r="M72" s="32"/>
      <c r="N72" s="32"/>
      <c r="O72" s="62"/>
      <c r="Q72" s="465"/>
    </row>
    <row r="73" spans="1:17" ht="11.25" hidden="1" customHeight="1">
      <c r="A73" s="463"/>
      <c r="B73" s="486"/>
      <c r="C73" s="657"/>
      <c r="D73" s="657"/>
      <c r="E73" s="658"/>
      <c r="F73" s="658"/>
      <c r="G73" s="658"/>
      <c r="H73" s="658"/>
      <c r="I73" s="658"/>
      <c r="J73" s="658"/>
      <c r="K73" s="658"/>
      <c r="L73" s="658"/>
      <c r="M73" s="658"/>
      <c r="N73" s="658"/>
      <c r="O73" s="62"/>
    </row>
    <row r="74" spans="1:17" ht="11.25" hidden="1" customHeight="1">
      <c r="A74" s="463"/>
      <c r="B74" s="486"/>
      <c r="C74" s="657"/>
      <c r="D74" s="657"/>
      <c r="E74" s="658"/>
      <c r="F74" s="658"/>
      <c r="G74" s="658"/>
      <c r="H74" s="658"/>
      <c r="I74" s="658"/>
      <c r="J74" s="658"/>
      <c r="K74" s="658"/>
      <c r="L74" s="658"/>
      <c r="M74" s="658"/>
      <c r="N74" s="658"/>
      <c r="O74" s="62"/>
    </row>
    <row r="75" spans="1:17" ht="11.25" hidden="1" customHeight="1">
      <c r="A75" s="463"/>
      <c r="B75" s="486"/>
      <c r="C75" s="657"/>
      <c r="D75" s="657"/>
      <c r="E75" s="656"/>
      <c r="F75" s="656"/>
      <c r="G75" s="656"/>
      <c r="H75" s="656"/>
      <c r="I75" s="656"/>
      <c r="J75" s="656"/>
      <c r="K75" s="656"/>
      <c r="L75" s="656"/>
      <c r="M75" s="656"/>
      <c r="N75" s="656"/>
      <c r="O75" s="62"/>
    </row>
    <row r="76" spans="1:17" hidden="1">
      <c r="A76" s="463"/>
      <c r="B76" s="486"/>
      <c r="C76" s="657"/>
      <c r="D76" s="657"/>
      <c r="E76" s="656"/>
      <c r="F76" s="656"/>
      <c r="G76" s="656"/>
      <c r="H76" s="656"/>
      <c r="I76" s="656"/>
      <c r="J76" s="656"/>
      <c r="K76" s="656"/>
      <c r="L76" s="656"/>
      <c r="M76" s="656"/>
      <c r="N76" s="656"/>
      <c r="O76" s="62"/>
    </row>
    <row r="77" spans="1:17" ht="4.2" hidden="1" customHeight="1">
      <c r="A77" s="463"/>
      <c r="B77" s="655"/>
      <c r="C77" s="62"/>
      <c r="D77" s="62"/>
      <c r="E77" s="62"/>
      <c r="F77" s="62"/>
      <c r="G77" s="62"/>
      <c r="H77" s="62"/>
      <c r="I77" s="62"/>
      <c r="J77" s="62"/>
      <c r="K77" s="62"/>
      <c r="L77" s="62"/>
      <c r="M77" s="62"/>
      <c r="N77" s="62"/>
      <c r="O77" s="62"/>
    </row>
    <row r="78" spans="1:17" hidden="1">
      <c r="A78" s="463"/>
      <c r="B78" s="62"/>
      <c r="C78" s="8"/>
      <c r="D78" s="8"/>
      <c r="E78" s="8"/>
      <c r="F78" s="8"/>
      <c r="G78" s="8"/>
      <c r="H78" s="8"/>
      <c r="I78" s="8"/>
      <c r="J78" s="8"/>
      <c r="K78" s="8"/>
      <c r="L78" s="8"/>
      <c r="M78" s="8"/>
      <c r="N78" s="8"/>
      <c r="O78" s="62"/>
    </row>
    <row r="79" spans="1:17" hidden="1">
      <c r="A79" s="463"/>
      <c r="B79" s="62"/>
      <c r="C79" s="8"/>
      <c r="D79" s="8"/>
      <c r="E79" s="8"/>
      <c r="F79" s="8"/>
      <c r="G79" s="8"/>
      <c r="H79" s="8"/>
      <c r="I79" s="8"/>
      <c r="J79" s="8"/>
      <c r="K79" s="8"/>
      <c r="L79" s="8"/>
      <c r="M79" s="8"/>
      <c r="N79" s="8"/>
      <c r="O79" s="62"/>
    </row>
    <row r="80" spans="1:17" hidden="1">
      <c r="A80" s="463"/>
      <c r="B80" s="62"/>
      <c r="C80" s="8"/>
      <c r="D80" s="8"/>
      <c r="E80" s="8"/>
      <c r="F80" s="8"/>
      <c r="G80" s="8"/>
      <c r="H80" s="8"/>
      <c r="I80" s="8"/>
      <c r="J80" s="8"/>
      <c r="K80" s="8"/>
      <c r="L80" s="8"/>
      <c r="M80" s="8"/>
      <c r="N80" s="8"/>
      <c r="O80" s="62"/>
    </row>
    <row r="81" spans="1:15" hidden="1">
      <c r="A81" s="463"/>
      <c r="B81" s="62"/>
      <c r="C81" s="8"/>
      <c r="D81" s="8"/>
      <c r="E81" s="8"/>
      <c r="F81" s="8"/>
      <c r="G81" s="8"/>
      <c r="H81" s="8"/>
      <c r="I81" s="8"/>
      <c r="J81" s="8"/>
      <c r="K81" s="8"/>
      <c r="L81" s="8"/>
      <c r="M81" s="8"/>
      <c r="N81" s="8"/>
      <c r="O81" s="62"/>
    </row>
    <row r="82" spans="1:15" s="466" customFormat="1" hidden="1">
      <c r="A82" s="463"/>
      <c r="B82" s="33"/>
      <c r="C82" s="32"/>
      <c r="D82" s="32"/>
      <c r="E82" s="32"/>
      <c r="F82" s="32"/>
      <c r="G82" s="32"/>
      <c r="H82" s="32"/>
      <c r="I82" s="32"/>
      <c r="J82" s="32"/>
      <c r="K82" s="32"/>
      <c r="L82" s="32"/>
      <c r="M82" s="32"/>
      <c r="N82" s="32"/>
      <c r="O82" s="33"/>
    </row>
    <row r="83" spans="1:15" hidden="1">
      <c r="A83" s="463"/>
      <c r="B83" s="62"/>
      <c r="C83" s="8"/>
      <c r="D83" s="8"/>
      <c r="E83" s="8"/>
      <c r="F83" s="8"/>
      <c r="G83" s="8"/>
      <c r="H83" s="8"/>
      <c r="I83" s="8"/>
      <c r="J83" s="8"/>
      <c r="K83" s="8"/>
      <c r="L83" s="8"/>
      <c r="M83" s="8"/>
      <c r="N83" s="8"/>
      <c r="O83" s="62"/>
    </row>
    <row r="84" spans="1:15" hidden="1">
      <c r="A84" s="463"/>
      <c r="B84" s="62"/>
      <c r="C84" s="8"/>
      <c r="D84" s="8"/>
      <c r="E84" s="8"/>
      <c r="F84" s="8"/>
      <c r="G84" s="8"/>
      <c r="H84" s="8"/>
      <c r="I84" s="8"/>
      <c r="J84" s="8"/>
      <c r="K84" s="8"/>
      <c r="L84" s="8"/>
      <c r="M84" s="8"/>
      <c r="N84" s="8"/>
      <c r="O84" s="62"/>
    </row>
    <row r="85" spans="1:15" hidden="1">
      <c r="A85" s="463"/>
      <c r="B85" s="33"/>
      <c r="C85" s="32"/>
      <c r="D85" s="32"/>
      <c r="E85" s="32"/>
      <c r="F85" s="32"/>
      <c r="G85" s="32"/>
      <c r="H85" s="32"/>
      <c r="I85" s="32"/>
      <c r="J85" s="32"/>
      <c r="K85" s="32"/>
      <c r="L85" s="32"/>
      <c r="M85" s="32"/>
      <c r="N85" s="32"/>
      <c r="O85" s="62"/>
    </row>
    <row r="86" spans="1:15" hidden="1">
      <c r="A86" s="463"/>
      <c r="B86" s="655"/>
      <c r="C86" s="62"/>
      <c r="D86" s="62"/>
      <c r="E86" s="62"/>
      <c r="F86" s="62"/>
      <c r="G86" s="62"/>
      <c r="H86" s="62"/>
      <c r="I86" s="62"/>
      <c r="J86" s="62"/>
      <c r="K86" s="62"/>
      <c r="L86" s="62"/>
      <c r="M86" s="62"/>
      <c r="N86" s="62"/>
      <c r="O86" s="62"/>
    </row>
    <row r="87" spans="1:15" hidden="1">
      <c r="A87" s="463"/>
      <c r="B87" s="62"/>
      <c r="C87" s="8"/>
      <c r="D87" s="8"/>
      <c r="E87" s="8"/>
      <c r="F87" s="8"/>
      <c r="G87" s="62"/>
      <c r="H87" s="8"/>
      <c r="I87" s="8"/>
      <c r="J87" s="8"/>
      <c r="K87" s="8"/>
      <c r="L87" s="8"/>
      <c r="M87" s="8"/>
      <c r="N87" s="8"/>
      <c r="O87" s="62"/>
    </row>
    <row r="88" spans="1:15" hidden="1">
      <c r="A88" s="463"/>
      <c r="B88" s="62"/>
      <c r="C88" s="8"/>
      <c r="D88" s="8"/>
      <c r="E88" s="8"/>
      <c r="F88" s="8"/>
      <c r="G88" s="62"/>
      <c r="H88" s="8"/>
      <c r="I88" s="8"/>
      <c r="J88" s="8"/>
      <c r="K88" s="8"/>
      <c r="L88" s="8"/>
      <c r="M88" s="8"/>
      <c r="N88" s="8"/>
      <c r="O88" s="62"/>
    </row>
    <row r="89" spans="1:15" hidden="1">
      <c r="A89" s="463"/>
      <c r="B89" s="62"/>
      <c r="C89" s="8"/>
      <c r="D89" s="8"/>
      <c r="E89" s="8"/>
      <c r="F89" s="8"/>
      <c r="G89" s="62"/>
      <c r="H89" s="8"/>
      <c r="I89" s="8"/>
      <c r="J89" s="8"/>
      <c r="K89" s="8"/>
      <c r="L89" s="8"/>
      <c r="M89" s="8"/>
      <c r="N89" s="8"/>
      <c r="O89" s="62"/>
    </row>
    <row r="90" spans="1:15" hidden="1">
      <c r="A90" s="463"/>
      <c r="B90" s="62"/>
      <c r="C90" s="8"/>
      <c r="D90" s="8"/>
      <c r="E90" s="8"/>
      <c r="F90" s="8"/>
      <c r="G90" s="62"/>
      <c r="H90" s="8"/>
      <c r="I90" s="8"/>
      <c r="J90" s="8"/>
      <c r="K90" s="8"/>
      <c r="L90" s="8"/>
      <c r="M90" s="8"/>
      <c r="N90" s="8"/>
      <c r="O90" s="62"/>
    </row>
    <row r="91" spans="1:15" hidden="1">
      <c r="A91" s="463"/>
      <c r="B91" s="62"/>
      <c r="C91" s="8"/>
      <c r="D91" s="8"/>
      <c r="E91" s="8"/>
      <c r="F91" s="8"/>
      <c r="G91" s="62"/>
      <c r="H91" s="8"/>
      <c r="I91" s="8"/>
      <c r="J91" s="8"/>
      <c r="K91" s="8"/>
      <c r="L91" s="8"/>
      <c r="M91" s="8"/>
      <c r="N91" s="8"/>
      <c r="O91" s="62"/>
    </row>
    <row r="92" spans="1:15" hidden="1">
      <c r="A92" s="463"/>
      <c r="B92" s="62"/>
      <c r="C92" s="8"/>
      <c r="D92" s="8"/>
      <c r="E92" s="8"/>
      <c r="F92" s="8"/>
      <c r="G92" s="62"/>
      <c r="H92" s="8"/>
      <c r="I92" s="8"/>
      <c r="J92" s="8"/>
      <c r="K92" s="8"/>
      <c r="L92" s="8"/>
      <c r="M92" s="8"/>
      <c r="N92" s="8"/>
      <c r="O92" s="62"/>
    </row>
    <row r="93" spans="1:15" hidden="1">
      <c r="A93" s="463"/>
      <c r="B93" s="62"/>
      <c r="C93" s="8"/>
      <c r="D93" s="8"/>
      <c r="E93" s="8"/>
      <c r="F93" s="8"/>
      <c r="G93" s="62"/>
      <c r="H93" s="8"/>
      <c r="I93" s="8"/>
      <c r="J93" s="8"/>
      <c r="K93" s="8"/>
      <c r="L93" s="8"/>
      <c r="M93" s="8"/>
      <c r="N93" s="8"/>
      <c r="O93" s="62"/>
    </row>
    <row r="94" spans="1:15" hidden="1">
      <c r="A94" s="463"/>
      <c r="B94" s="62"/>
      <c r="C94" s="8"/>
      <c r="D94" s="8"/>
      <c r="E94" s="8"/>
      <c r="F94" s="8"/>
      <c r="G94" s="8"/>
      <c r="H94" s="8"/>
      <c r="I94" s="8"/>
      <c r="J94" s="8"/>
      <c r="K94" s="8"/>
      <c r="L94" s="8"/>
      <c r="M94" s="8"/>
      <c r="N94" s="8"/>
      <c r="O94" s="62"/>
    </row>
    <row r="95" spans="1:15" hidden="1">
      <c r="A95" s="463"/>
      <c r="B95" s="33"/>
      <c r="C95" s="32"/>
      <c r="D95" s="32"/>
      <c r="E95" s="32"/>
      <c r="F95" s="32"/>
      <c r="G95" s="32"/>
      <c r="H95" s="32"/>
      <c r="I95" s="32"/>
      <c r="J95" s="32"/>
      <c r="K95" s="32"/>
      <c r="L95" s="32"/>
      <c r="M95" s="32"/>
      <c r="N95" s="32"/>
      <c r="O95" s="62"/>
    </row>
    <row r="96" spans="1:15" hidden="1">
      <c r="A96" s="463"/>
      <c r="B96" s="655"/>
      <c r="C96" s="62"/>
      <c r="D96" s="62"/>
      <c r="E96" s="62"/>
      <c r="F96" s="62"/>
      <c r="G96" s="62"/>
      <c r="H96" s="62"/>
      <c r="I96" s="62"/>
      <c r="J96" s="62"/>
      <c r="K96" s="62"/>
      <c r="L96" s="62"/>
      <c r="M96" s="62"/>
      <c r="N96" s="62"/>
      <c r="O96" s="62"/>
    </row>
    <row r="97" spans="1:15" hidden="1">
      <c r="A97" s="463"/>
      <c r="B97" s="62"/>
      <c r="C97" s="32"/>
      <c r="D97" s="32"/>
      <c r="E97" s="32"/>
      <c r="F97" s="32"/>
      <c r="G97" s="8"/>
      <c r="H97" s="8"/>
      <c r="I97" s="8"/>
      <c r="J97" s="32"/>
      <c r="K97" s="32"/>
      <c r="L97" s="32"/>
      <c r="M97" s="32"/>
      <c r="N97" s="32"/>
      <c r="O97" s="62"/>
    </row>
    <row r="98" spans="1:15" hidden="1">
      <c r="A98" s="463"/>
      <c r="B98" s="62"/>
      <c r="C98" s="32"/>
      <c r="D98" s="32"/>
      <c r="E98" s="32"/>
      <c r="F98" s="32"/>
      <c r="G98" s="8"/>
      <c r="H98" s="8"/>
      <c r="I98" s="8"/>
      <c r="J98" s="8"/>
      <c r="K98" s="8"/>
      <c r="L98" s="8"/>
      <c r="M98" s="8"/>
      <c r="N98" s="8"/>
      <c r="O98" s="62"/>
    </row>
    <row r="99" spans="1:15" hidden="1">
      <c r="A99" s="463"/>
      <c r="B99" s="62"/>
      <c r="C99" s="32"/>
      <c r="D99" s="32"/>
      <c r="E99" s="32"/>
      <c r="F99" s="32"/>
      <c r="G99" s="32"/>
      <c r="H99" s="8"/>
      <c r="I99" s="8"/>
      <c r="J99" s="8"/>
      <c r="K99" s="8"/>
      <c r="L99" s="8"/>
      <c r="M99" s="8"/>
      <c r="N99" s="8"/>
      <c r="O99" s="62"/>
    </row>
    <row r="100" spans="1:15" hidden="1">
      <c r="A100" s="463"/>
      <c r="B100" s="62"/>
      <c r="C100" s="32"/>
      <c r="D100" s="32"/>
      <c r="E100" s="32"/>
      <c r="F100" s="32"/>
      <c r="G100" s="32"/>
      <c r="H100" s="8"/>
      <c r="I100" s="8"/>
      <c r="J100" s="8"/>
      <c r="K100" s="8"/>
      <c r="L100" s="8"/>
      <c r="M100" s="8"/>
      <c r="N100" s="8"/>
      <c r="O100" s="62"/>
    </row>
    <row r="101" spans="1:15" hidden="1">
      <c r="A101" s="463"/>
      <c r="B101" s="62"/>
      <c r="C101" s="32"/>
      <c r="D101" s="32"/>
      <c r="E101" s="32"/>
      <c r="F101" s="32"/>
      <c r="G101" s="32"/>
      <c r="H101" s="8"/>
      <c r="I101" s="8"/>
      <c r="J101" s="8"/>
      <c r="K101" s="8"/>
      <c r="L101" s="8"/>
      <c r="M101" s="8"/>
      <c r="N101" s="8"/>
      <c r="O101" s="62"/>
    </row>
    <row r="102" spans="1:15" hidden="1">
      <c r="A102" s="463"/>
      <c r="B102" s="33"/>
      <c r="C102" s="654"/>
      <c r="D102" s="32"/>
      <c r="E102" s="32"/>
      <c r="F102" s="32"/>
      <c r="G102" s="32"/>
      <c r="H102" s="32"/>
      <c r="I102" s="32"/>
      <c r="J102" s="32"/>
      <c r="K102" s="32"/>
      <c r="L102" s="32"/>
      <c r="M102" s="32"/>
      <c r="N102" s="32"/>
      <c r="O102" s="62"/>
    </row>
    <row r="103" spans="1:15" ht="4.2" hidden="1" customHeight="1">
      <c r="A103" s="463"/>
      <c r="B103" s="33"/>
      <c r="C103" s="33"/>
      <c r="D103" s="33"/>
      <c r="E103" s="33"/>
      <c r="F103" s="33"/>
      <c r="G103" s="33"/>
      <c r="H103" s="32"/>
      <c r="I103" s="32"/>
      <c r="J103" s="32"/>
      <c r="K103" s="32"/>
      <c r="L103" s="32"/>
      <c r="M103" s="32"/>
      <c r="N103" s="32"/>
      <c r="O103" s="62"/>
    </row>
    <row r="104" spans="1:15" s="474" customFormat="1" hidden="1">
      <c r="A104" s="475"/>
      <c r="B104" s="653"/>
      <c r="C104" s="653"/>
      <c r="D104" s="653"/>
      <c r="E104" s="653"/>
      <c r="F104" s="653"/>
      <c r="G104" s="653"/>
      <c r="H104" s="653"/>
      <c r="I104" s="653"/>
      <c r="J104" s="653"/>
      <c r="K104" s="653"/>
      <c r="L104" s="653"/>
      <c r="M104" s="653"/>
      <c r="N104" s="653"/>
      <c r="O104" s="653"/>
    </row>
    <row r="105" spans="1:15" ht="13.2" hidden="1">
      <c r="A105" s="463"/>
      <c r="B105" s="469"/>
      <c r="C105" s="468"/>
      <c r="D105" s="468"/>
      <c r="E105" s="468"/>
      <c r="F105" s="468"/>
      <c r="G105" s="468"/>
      <c r="H105" s="468"/>
      <c r="I105" s="468"/>
      <c r="J105" s="468"/>
      <c r="K105" s="468"/>
      <c r="L105" s="468"/>
      <c r="M105" s="468"/>
      <c r="N105" s="468"/>
      <c r="O105" s="62"/>
    </row>
    <row r="106" spans="1:15" ht="15" hidden="1" customHeight="1">
      <c r="A106" s="463"/>
      <c r="B106" s="33"/>
      <c r="C106" s="62"/>
      <c r="D106" s="62"/>
      <c r="E106" s="62"/>
      <c r="F106" s="62"/>
      <c r="G106" s="62"/>
      <c r="H106" s="62"/>
      <c r="I106" s="62"/>
      <c r="J106" s="31"/>
      <c r="K106" s="31"/>
      <c r="L106" s="31"/>
      <c r="M106" s="31"/>
      <c r="N106" s="31"/>
      <c r="O106" s="62"/>
    </row>
    <row r="107" spans="1:15" s="2" customFormat="1" ht="13.2" hidden="1">
      <c r="B107" s="643"/>
      <c r="C107" s="494"/>
      <c r="D107" s="494"/>
      <c r="E107" s="494"/>
      <c r="F107" s="494"/>
      <c r="G107" s="494"/>
      <c r="H107" s="494"/>
      <c r="I107" s="652"/>
      <c r="J107" s="652"/>
      <c r="K107" s="652"/>
      <c r="L107" s="652"/>
      <c r="M107" s="652"/>
      <c r="N107" s="652"/>
      <c r="O107" s="506"/>
    </row>
    <row r="108" spans="1:15" s="58" customFormat="1" ht="13.2" hidden="1">
      <c r="A108" s="440"/>
      <c r="B108" s="469"/>
      <c r="C108" s="468"/>
      <c r="D108" s="468"/>
      <c r="E108" s="468"/>
      <c r="F108" s="468"/>
      <c r="G108" s="468"/>
      <c r="H108" s="468"/>
      <c r="I108" s="468"/>
      <c r="J108" s="468"/>
      <c r="K108" s="468"/>
      <c r="L108" s="468"/>
      <c r="M108" s="468"/>
      <c r="N108" s="468"/>
      <c r="O108" s="62"/>
    </row>
    <row r="109" spans="1:15" hidden="1">
      <c r="B109" s="33"/>
      <c r="C109" s="62"/>
      <c r="D109" s="62"/>
      <c r="E109" s="62"/>
      <c r="F109" s="62"/>
      <c r="G109" s="62"/>
      <c r="H109" s="62"/>
      <c r="I109" s="62"/>
      <c r="J109" s="62"/>
      <c r="K109" s="62"/>
      <c r="L109" s="62"/>
      <c r="M109" s="62"/>
      <c r="N109" s="62"/>
      <c r="O109" s="62"/>
    </row>
    <row r="110" spans="1:15" hidden="1">
      <c r="B110" s="62"/>
      <c r="C110" s="62"/>
      <c r="D110" s="62"/>
      <c r="E110" s="62"/>
      <c r="F110" s="62"/>
      <c r="G110" s="62"/>
      <c r="H110" s="62"/>
      <c r="I110" s="8"/>
      <c r="J110" s="8"/>
      <c r="K110" s="8"/>
      <c r="L110" s="8"/>
      <c r="M110" s="8"/>
      <c r="N110" s="8"/>
      <c r="O110" s="62"/>
    </row>
    <row r="111" spans="1:15" hidden="1">
      <c r="B111" s="62"/>
      <c r="C111" s="62"/>
      <c r="D111" s="62"/>
      <c r="E111" s="62"/>
      <c r="F111" s="62"/>
      <c r="G111" s="62"/>
      <c r="H111" s="62"/>
      <c r="I111" s="62"/>
      <c r="J111" s="8"/>
      <c r="K111" s="8"/>
      <c r="L111" s="8"/>
      <c r="M111" s="8"/>
      <c r="N111" s="8"/>
      <c r="O111" s="62"/>
    </row>
    <row r="112" spans="1:15" hidden="1">
      <c r="B112" s="62"/>
      <c r="C112" s="62"/>
      <c r="D112" s="62"/>
      <c r="E112" s="62"/>
      <c r="F112" s="62"/>
      <c r="G112" s="62"/>
      <c r="H112" s="62"/>
      <c r="I112" s="62"/>
      <c r="J112" s="8"/>
      <c r="K112" s="8"/>
      <c r="L112" s="8"/>
      <c r="M112" s="8"/>
      <c r="N112" s="8"/>
      <c r="O112" s="62"/>
    </row>
    <row r="113" spans="2:15" hidden="1">
      <c r="B113" s="62"/>
      <c r="C113" s="62"/>
      <c r="D113" s="62"/>
      <c r="E113" s="62"/>
      <c r="F113" s="62"/>
      <c r="G113" s="62"/>
      <c r="H113" s="62"/>
      <c r="I113" s="62"/>
      <c r="J113" s="8"/>
      <c r="K113" s="8"/>
      <c r="L113" s="8"/>
      <c r="M113" s="8"/>
      <c r="N113" s="8"/>
      <c r="O113" s="62"/>
    </row>
    <row r="114" spans="2:15" hidden="1">
      <c r="B114" s="62"/>
      <c r="C114" s="62"/>
      <c r="D114" s="62"/>
      <c r="E114" s="62"/>
      <c r="F114" s="62"/>
      <c r="G114" s="62"/>
      <c r="H114" s="62"/>
      <c r="I114" s="62"/>
      <c r="J114" s="8"/>
      <c r="K114" s="8"/>
      <c r="L114" s="8"/>
      <c r="M114" s="8"/>
      <c r="N114" s="8"/>
      <c r="O114" s="62"/>
    </row>
    <row r="115" spans="2:15" hidden="1">
      <c r="B115" s="62"/>
      <c r="C115" s="62"/>
      <c r="D115" s="62"/>
      <c r="E115" s="62"/>
      <c r="F115" s="62"/>
      <c r="G115" s="62"/>
      <c r="H115" s="62"/>
      <c r="I115" s="62"/>
      <c r="J115" s="62"/>
      <c r="K115" s="62"/>
      <c r="L115" s="62"/>
      <c r="M115" s="62"/>
      <c r="N115" s="62"/>
      <c r="O115" s="62"/>
    </row>
    <row r="116" spans="2:15" hidden="1">
      <c r="B116" s="33"/>
      <c r="C116" s="62"/>
      <c r="D116" s="62"/>
      <c r="E116" s="62"/>
      <c r="F116" s="62"/>
      <c r="G116" s="62"/>
      <c r="H116" s="62"/>
      <c r="I116" s="62"/>
      <c r="J116" s="62"/>
      <c r="K116" s="62"/>
      <c r="L116" s="62"/>
      <c r="M116" s="62"/>
      <c r="N116" s="62"/>
      <c r="O116" s="62"/>
    </row>
    <row r="117" spans="2:15" hidden="1">
      <c r="B117" s="62"/>
      <c r="C117" s="62"/>
      <c r="D117" s="62"/>
      <c r="E117" s="62"/>
      <c r="F117" s="62"/>
      <c r="G117" s="62"/>
      <c r="H117" s="62"/>
      <c r="I117" s="62"/>
      <c r="J117" s="8"/>
      <c r="K117" s="8"/>
      <c r="L117" s="8"/>
      <c r="M117" s="8"/>
      <c r="N117" s="8"/>
      <c r="O117" s="62"/>
    </row>
    <row r="118" spans="2:15" hidden="1">
      <c r="B118" s="62"/>
      <c r="C118" s="62"/>
      <c r="D118" s="62"/>
      <c r="E118" s="62"/>
      <c r="F118" s="62"/>
      <c r="G118" s="62"/>
      <c r="H118" s="62"/>
      <c r="I118" s="62"/>
      <c r="J118" s="8"/>
      <c r="K118" s="8"/>
      <c r="L118" s="8"/>
      <c r="M118" s="8"/>
      <c r="N118" s="8"/>
      <c r="O118" s="62"/>
    </row>
    <row r="119" spans="2:15" hidden="1">
      <c r="B119" s="62"/>
      <c r="C119" s="62"/>
      <c r="D119" s="62"/>
      <c r="E119" s="62"/>
      <c r="F119" s="62"/>
      <c r="G119" s="62"/>
      <c r="H119" s="62"/>
      <c r="I119" s="62"/>
      <c r="J119" s="8"/>
      <c r="K119" s="8"/>
      <c r="L119" s="8"/>
      <c r="M119" s="8"/>
      <c r="N119" s="8"/>
      <c r="O119" s="62"/>
    </row>
    <row r="120" spans="2:15" hidden="1">
      <c r="B120" s="62"/>
      <c r="C120" s="62"/>
      <c r="D120" s="62"/>
      <c r="E120" s="62"/>
      <c r="F120" s="62"/>
      <c r="G120" s="62"/>
      <c r="H120" s="62"/>
      <c r="I120" s="62"/>
      <c r="J120" s="8"/>
      <c r="K120" s="8"/>
      <c r="L120" s="8"/>
      <c r="M120" s="8"/>
      <c r="N120" s="8"/>
      <c r="O120" s="62"/>
    </row>
    <row r="121" spans="2:15" hidden="1">
      <c r="B121" s="62"/>
      <c r="C121" s="62"/>
      <c r="D121" s="62"/>
      <c r="E121" s="62"/>
      <c r="F121" s="62"/>
      <c r="G121" s="62"/>
      <c r="H121" s="62"/>
      <c r="I121" s="62"/>
      <c r="J121" s="8"/>
      <c r="K121" s="8"/>
      <c r="L121" s="8"/>
      <c r="M121" s="8"/>
      <c r="N121" s="8"/>
      <c r="O121" s="62"/>
    </row>
    <row r="122" spans="2:15" hidden="1">
      <c r="B122" s="62"/>
      <c r="C122" s="62"/>
      <c r="D122" s="62"/>
      <c r="E122" s="62"/>
      <c r="F122" s="62"/>
      <c r="G122" s="62"/>
      <c r="H122" s="62"/>
      <c r="I122" s="62"/>
      <c r="J122" s="62"/>
      <c r="K122" s="62"/>
      <c r="L122" s="62"/>
      <c r="M122" s="62"/>
      <c r="N122" s="62"/>
      <c r="O122" s="62"/>
    </row>
    <row r="123" spans="2:15" hidden="1">
      <c r="B123" s="33"/>
      <c r="C123" s="62"/>
      <c r="D123" s="62"/>
      <c r="E123" s="62"/>
      <c r="F123" s="62"/>
      <c r="G123" s="62"/>
      <c r="H123" s="62"/>
      <c r="I123" s="62"/>
      <c r="J123" s="62"/>
      <c r="K123" s="62"/>
      <c r="L123" s="62"/>
      <c r="M123" s="62"/>
      <c r="N123" s="62"/>
      <c r="O123" s="62"/>
    </row>
    <row r="124" spans="2:15" hidden="1">
      <c r="B124" s="62"/>
      <c r="C124" s="62"/>
      <c r="D124" s="62"/>
      <c r="E124" s="62"/>
      <c r="F124" s="62"/>
      <c r="G124" s="62"/>
      <c r="H124" s="62"/>
      <c r="I124" s="62"/>
      <c r="J124" s="8"/>
      <c r="K124" s="8"/>
      <c r="L124" s="8"/>
      <c r="M124" s="8"/>
      <c r="N124" s="8"/>
      <c r="O124" s="62"/>
    </row>
    <row r="125" spans="2:15" hidden="1">
      <c r="B125" s="62"/>
      <c r="C125" s="62"/>
      <c r="D125" s="62"/>
      <c r="E125" s="62"/>
      <c r="F125" s="62"/>
      <c r="G125" s="62"/>
      <c r="H125" s="62"/>
      <c r="I125" s="62"/>
      <c r="J125" s="8"/>
      <c r="K125" s="8"/>
      <c r="L125" s="8"/>
      <c r="M125" s="8"/>
      <c r="N125" s="8"/>
      <c r="O125" s="62"/>
    </row>
    <row r="126" spans="2:15" hidden="1">
      <c r="B126" s="62"/>
      <c r="C126" s="62"/>
      <c r="D126" s="62"/>
      <c r="E126" s="62"/>
      <c r="F126" s="62"/>
      <c r="G126" s="62"/>
      <c r="H126" s="62"/>
      <c r="I126" s="62"/>
      <c r="J126" s="8"/>
      <c r="K126" s="8"/>
      <c r="L126" s="8"/>
      <c r="M126" s="8"/>
      <c r="N126" s="8"/>
      <c r="O126" s="62"/>
    </row>
    <row r="127" spans="2:15" hidden="1">
      <c r="B127" s="62"/>
      <c r="C127" s="62"/>
      <c r="D127" s="62"/>
      <c r="E127" s="62"/>
      <c r="F127" s="62"/>
      <c r="G127" s="62"/>
      <c r="H127" s="62"/>
      <c r="I127" s="62"/>
      <c r="J127" s="8"/>
      <c r="K127" s="8"/>
      <c r="L127" s="8"/>
      <c r="M127" s="8"/>
      <c r="N127" s="8"/>
      <c r="O127" s="62"/>
    </row>
    <row r="128" spans="2:15" hidden="1">
      <c r="B128" s="62"/>
      <c r="C128" s="62"/>
      <c r="D128" s="62"/>
      <c r="E128" s="62"/>
      <c r="F128" s="62"/>
      <c r="G128" s="62"/>
      <c r="H128" s="62"/>
      <c r="I128" s="62"/>
      <c r="J128" s="8"/>
      <c r="K128" s="8"/>
      <c r="L128" s="8"/>
      <c r="M128" s="8"/>
      <c r="N128" s="8"/>
      <c r="O128" s="62"/>
    </row>
    <row r="129" spans="1:24 16384:16384" hidden="1">
      <c r="B129" s="62"/>
      <c r="C129" s="62"/>
      <c r="D129" s="62"/>
      <c r="E129" s="62"/>
      <c r="F129" s="62"/>
      <c r="G129" s="62"/>
      <c r="H129" s="62"/>
      <c r="I129" s="62"/>
      <c r="J129" s="62"/>
      <c r="K129" s="62"/>
      <c r="L129" s="62"/>
      <c r="M129" s="62"/>
      <c r="N129" s="62"/>
      <c r="O129" s="62"/>
    </row>
    <row r="130" spans="1:24 16384:16384" hidden="1">
      <c r="B130" s="33"/>
      <c r="C130" s="62"/>
      <c r="D130" s="62"/>
      <c r="E130" s="62"/>
      <c r="F130" s="62"/>
      <c r="G130" s="62"/>
      <c r="H130" s="62"/>
      <c r="I130" s="62"/>
      <c r="J130" s="62"/>
      <c r="K130" s="62"/>
      <c r="L130" s="62"/>
      <c r="M130" s="62"/>
      <c r="N130" s="62"/>
      <c r="O130" s="62"/>
    </row>
    <row r="131" spans="1:24 16384:16384" hidden="1">
      <c r="B131" s="62"/>
      <c r="C131" s="62"/>
      <c r="D131" s="62"/>
      <c r="E131" s="62"/>
      <c r="F131" s="62"/>
      <c r="G131" s="62"/>
      <c r="H131" s="62"/>
      <c r="I131" s="8"/>
      <c r="J131" s="8"/>
      <c r="K131" s="8"/>
      <c r="L131" s="8"/>
      <c r="M131" s="8"/>
      <c r="N131" s="8"/>
      <c r="O131" s="62"/>
    </row>
    <row r="132" spans="1:24 16384:16384" hidden="1">
      <c r="B132" s="62"/>
      <c r="C132" s="62"/>
      <c r="D132" s="62"/>
      <c r="E132" s="62"/>
      <c r="F132" s="62"/>
      <c r="G132" s="62"/>
      <c r="H132" s="62"/>
      <c r="I132" s="8"/>
      <c r="J132" s="8"/>
      <c r="K132" s="8"/>
      <c r="L132" s="8"/>
      <c r="M132" s="8"/>
      <c r="N132" s="8"/>
      <c r="O132" s="62"/>
    </row>
    <row r="133" spans="1:24 16384:16384" hidden="1">
      <c r="B133" s="62"/>
      <c r="C133" s="62"/>
      <c r="D133" s="62"/>
      <c r="E133" s="62"/>
      <c r="F133" s="62"/>
      <c r="G133" s="62"/>
      <c r="H133" s="62"/>
      <c r="I133" s="8"/>
      <c r="J133" s="8"/>
      <c r="K133" s="8"/>
      <c r="L133" s="8"/>
      <c r="M133" s="8"/>
      <c r="N133" s="8"/>
      <c r="O133" s="62"/>
    </row>
    <row r="134" spans="1:24 16384:16384" hidden="1">
      <c r="B134" s="62"/>
      <c r="C134" s="62"/>
      <c r="D134" s="62"/>
      <c r="E134" s="62"/>
      <c r="F134" s="62"/>
      <c r="G134" s="62"/>
      <c r="H134" s="62"/>
      <c r="I134" s="8"/>
      <c r="J134" s="8"/>
      <c r="K134" s="8"/>
      <c r="L134" s="8"/>
      <c r="M134" s="8"/>
      <c r="N134" s="8"/>
      <c r="O134" s="62"/>
    </row>
    <row r="135" spans="1:24 16384:16384" hidden="1">
      <c r="B135" s="62"/>
      <c r="C135" s="62"/>
      <c r="D135" s="62"/>
      <c r="E135" s="62"/>
      <c r="F135" s="62"/>
      <c r="G135" s="62"/>
      <c r="H135" s="62"/>
      <c r="I135" s="62"/>
      <c r="J135" s="8"/>
      <c r="K135" s="8"/>
      <c r="L135" s="8"/>
      <c r="M135" s="8"/>
      <c r="N135" s="8"/>
      <c r="O135" s="62"/>
    </row>
    <row r="136" spans="1:24 16384:16384" hidden="1">
      <c r="A136" s="463"/>
      <c r="B136" s="62"/>
      <c r="C136" s="62"/>
      <c r="D136" s="62"/>
      <c r="E136" s="62"/>
      <c r="F136" s="62"/>
      <c r="G136" s="62"/>
      <c r="H136" s="62"/>
      <c r="I136" s="62"/>
      <c r="J136" s="62"/>
      <c r="K136" s="62"/>
      <c r="L136" s="62"/>
      <c r="M136" s="62"/>
      <c r="N136" s="62"/>
      <c r="O136" s="62"/>
    </row>
    <row r="137" spans="1:24 16384:16384" hidden="1">
      <c r="A137" s="463"/>
      <c r="B137" s="62"/>
      <c r="C137" s="62"/>
      <c r="D137" s="62"/>
      <c r="E137" s="62"/>
      <c r="F137" s="62"/>
      <c r="G137" s="62"/>
      <c r="H137" s="62"/>
      <c r="I137" s="62"/>
      <c r="J137" s="62"/>
      <c r="K137" s="62"/>
      <c r="L137" s="62"/>
      <c r="M137" s="62"/>
      <c r="N137" s="62"/>
      <c r="O137" s="62"/>
    </row>
    <row r="138" spans="1:24 16384:16384" hidden="1">
      <c r="A138" s="463"/>
      <c r="B138" s="33"/>
      <c r="C138" s="62"/>
      <c r="D138" s="62"/>
      <c r="E138" s="62"/>
      <c r="F138" s="62"/>
      <c r="G138" s="62"/>
      <c r="H138" s="62"/>
      <c r="I138" s="62"/>
      <c r="J138" s="62"/>
      <c r="K138" s="62"/>
      <c r="L138" s="62"/>
      <c r="M138" s="62"/>
      <c r="N138" s="62"/>
      <c r="O138" s="62"/>
    </row>
    <row r="139" spans="1:24 16384:16384" hidden="1">
      <c r="A139" s="463"/>
      <c r="B139" s="62"/>
      <c r="C139" s="62"/>
      <c r="D139" s="62"/>
      <c r="E139" s="651"/>
      <c r="F139" s="62"/>
      <c r="G139" s="62"/>
      <c r="H139" s="62"/>
      <c r="I139" s="62"/>
      <c r="J139" s="62"/>
      <c r="K139" s="62"/>
      <c r="L139" s="62"/>
      <c r="M139" s="62"/>
      <c r="N139" s="62"/>
      <c r="O139" s="62"/>
    </row>
    <row r="140" spans="1:24 16384:16384" ht="11.25" hidden="1" customHeight="1">
      <c r="A140" s="463"/>
      <c r="B140" s="33"/>
      <c r="C140" s="481"/>
      <c r="D140" s="481"/>
      <c r="E140" s="480"/>
      <c r="F140" s="33"/>
      <c r="G140" s="33"/>
      <c r="H140" s="32"/>
      <c r="I140" s="32"/>
      <c r="J140" s="32"/>
      <c r="K140" s="32"/>
      <c r="L140" s="32"/>
      <c r="M140" s="32"/>
      <c r="N140" s="32"/>
      <c r="O140" s="62"/>
      <c r="Q140"/>
      <c r="R140"/>
      <c r="S140"/>
      <c r="T140"/>
      <c r="U140"/>
      <c r="V140"/>
      <c r="W140"/>
      <c r="X140"/>
    </row>
    <row r="141" spans="1:24 16384:16384" ht="11.25" hidden="1" customHeight="1">
      <c r="A141" s="440"/>
      <c r="B141" s="643"/>
      <c r="C141" s="643"/>
      <c r="D141" s="643"/>
      <c r="E141" s="643"/>
      <c r="F141" s="643"/>
      <c r="G141" s="643"/>
      <c r="H141" s="643"/>
      <c r="I141" s="643"/>
      <c r="J141" s="643"/>
      <c r="K141" s="643"/>
      <c r="L141" s="643"/>
      <c r="M141" s="643"/>
      <c r="N141" s="643"/>
      <c r="O141" s="643"/>
      <c r="Q141"/>
      <c r="R141"/>
      <c r="S141"/>
      <c r="T141"/>
      <c r="U141"/>
      <c r="V141"/>
      <c r="W141"/>
      <c r="X141"/>
    </row>
    <row r="142" spans="1:24 16384:16384" ht="11.25" hidden="1" customHeight="1">
      <c r="A142" s="463"/>
      <c r="B142" s="33"/>
      <c r="C142" s="639"/>
      <c r="D142" s="639"/>
      <c r="E142" s="642"/>
      <c r="F142" s="621"/>
      <c r="G142" s="621"/>
      <c r="H142" s="639"/>
      <c r="I142" s="639"/>
      <c r="J142" s="639"/>
      <c r="K142" s="650"/>
      <c r="L142" s="650"/>
      <c r="M142" s="650"/>
      <c r="N142" s="650"/>
      <c r="O142" s="650"/>
      <c r="Q142"/>
      <c r="R142"/>
      <c r="S142"/>
      <c r="T142"/>
      <c r="U142"/>
      <c r="V142"/>
      <c r="W142"/>
      <c r="X142"/>
    </row>
    <row r="143" spans="1:24 16384:16384" ht="11.25" hidden="1" customHeight="1">
      <c r="A143" s="463"/>
      <c r="B143" s="33"/>
      <c r="C143" s="639"/>
      <c r="D143" s="639"/>
      <c r="E143" s="639"/>
      <c r="F143" s="621"/>
      <c r="G143" s="621"/>
      <c r="H143" s="639"/>
      <c r="I143" s="639"/>
      <c r="J143" s="639"/>
      <c r="K143" s="623"/>
      <c r="L143" s="623"/>
      <c r="M143" s="623"/>
      <c r="N143" s="623"/>
      <c r="O143" s="623"/>
      <c r="Q143"/>
      <c r="R143"/>
      <c r="S143"/>
      <c r="T143"/>
      <c r="U143"/>
      <c r="V143"/>
      <c r="W143"/>
      <c r="X143"/>
    </row>
    <row r="144" spans="1:24 16384:16384" ht="11.25" hidden="1" customHeight="1">
      <c r="A144" s="463"/>
      <c r="B144" s="62"/>
      <c r="C144" s="638"/>
      <c r="D144" s="632"/>
      <c r="E144" s="636"/>
      <c r="F144" s="633"/>
      <c r="G144" s="633"/>
      <c r="H144" s="633"/>
      <c r="I144" s="633"/>
      <c r="J144" s="636"/>
      <c r="K144" s="649"/>
      <c r="L144" s="649"/>
      <c r="M144" s="649"/>
      <c r="N144" s="632"/>
      <c r="O144" s="646"/>
      <c r="Q144"/>
      <c r="R144"/>
      <c r="S144"/>
      <c r="T144"/>
      <c r="U144"/>
      <c r="V144"/>
      <c r="W144"/>
      <c r="X144"/>
      <c r="XFD144" s="588"/>
    </row>
    <row r="145" spans="1:24" ht="11.25" hidden="1" customHeight="1">
      <c r="A145" s="463"/>
      <c r="B145" s="62"/>
      <c r="C145" s="638"/>
      <c r="D145" s="632"/>
      <c r="E145" s="636"/>
      <c r="F145" s="633"/>
      <c r="G145" s="633"/>
      <c r="H145" s="633"/>
      <c r="I145" s="632"/>
      <c r="J145" s="636"/>
      <c r="K145" s="649"/>
      <c r="L145" s="649"/>
      <c r="M145" s="649"/>
      <c r="N145" s="632"/>
      <c r="O145" s="646"/>
      <c r="Q145"/>
      <c r="R145"/>
      <c r="S145"/>
      <c r="T145"/>
      <c r="U145"/>
      <c r="V145"/>
      <c r="W145"/>
      <c r="X145"/>
    </row>
    <row r="146" spans="1:24" ht="11.25" hidden="1" customHeight="1">
      <c r="A146" s="463"/>
      <c r="B146" s="62"/>
      <c r="C146" s="630"/>
      <c r="D146" s="642"/>
      <c r="E146" s="648"/>
      <c r="F146" s="633"/>
      <c r="G146" s="633"/>
      <c r="H146" s="633"/>
      <c r="I146" s="632"/>
      <c r="J146" s="631"/>
      <c r="K146" s="646"/>
      <c r="L146" s="646"/>
      <c r="M146" s="646"/>
      <c r="N146" s="646"/>
      <c r="O146" s="646"/>
      <c r="Q146"/>
      <c r="R146"/>
      <c r="S146"/>
      <c r="T146"/>
      <c r="U146"/>
      <c r="V146"/>
      <c r="W146"/>
      <c r="X146"/>
    </row>
    <row r="147" spans="1:24" ht="11.25" hidden="1" customHeight="1">
      <c r="A147" s="463"/>
      <c r="B147" s="62"/>
      <c r="C147" s="17"/>
      <c r="D147" s="642"/>
      <c r="E147" s="648"/>
      <c r="F147" s="647"/>
      <c r="G147" s="62"/>
      <c r="H147" s="629"/>
      <c r="I147" s="62"/>
      <c r="J147" s="631"/>
      <c r="K147" s="646"/>
      <c r="L147" s="642"/>
      <c r="M147" s="646"/>
      <c r="N147" s="646"/>
      <c r="O147" s="646"/>
      <c r="Q147"/>
      <c r="R147"/>
      <c r="S147"/>
      <c r="T147"/>
      <c r="U147"/>
      <c r="V147"/>
      <c r="W147"/>
      <c r="X147"/>
    </row>
    <row r="148" spans="1:24" ht="11.25" hidden="1" customHeight="1">
      <c r="A148" s="463"/>
      <c r="B148" s="33"/>
      <c r="C148" s="627"/>
      <c r="D148" s="645"/>
      <c r="E148" s="619"/>
      <c r="F148" s="620"/>
      <c r="G148" s="620"/>
      <c r="H148" s="620"/>
      <c r="I148" s="620"/>
      <c r="J148" s="619"/>
      <c r="K148" s="644"/>
      <c r="L148" s="644"/>
      <c r="M148" s="644"/>
      <c r="N148" s="644"/>
      <c r="O148" s="644"/>
      <c r="Q148"/>
      <c r="R148"/>
      <c r="S148"/>
      <c r="T148"/>
      <c r="U148"/>
      <c r="V148"/>
      <c r="W148"/>
      <c r="X148"/>
    </row>
    <row r="149" spans="1:24" ht="11.25" hidden="1" customHeight="1">
      <c r="A149" s="463"/>
      <c r="B149" s="33"/>
      <c r="C149" s="481"/>
      <c r="D149" s="481"/>
      <c r="E149" s="481"/>
      <c r="F149" s="621"/>
      <c r="G149" s="623"/>
      <c r="H149" s="619"/>
      <c r="I149" s="622"/>
      <c r="J149" s="622"/>
      <c r="K149" s="619"/>
      <c r="L149" s="621"/>
      <c r="M149" s="621"/>
      <c r="N149" s="620"/>
      <c r="O149" s="619"/>
      <c r="Q149"/>
      <c r="R149"/>
      <c r="S149"/>
      <c r="T149"/>
      <c r="U149"/>
      <c r="V149"/>
      <c r="W149"/>
      <c r="X149"/>
    </row>
    <row r="150" spans="1:24" ht="11.25" hidden="1" customHeight="1">
      <c r="A150" s="463"/>
      <c r="B150" s="643"/>
      <c r="C150" s="643"/>
      <c r="D150" s="643"/>
      <c r="E150" s="643"/>
      <c r="F150" s="643"/>
      <c r="G150" s="643"/>
      <c r="H150" s="643"/>
      <c r="I150" s="643"/>
      <c r="J150" s="643"/>
      <c r="K150" s="643"/>
      <c r="L150" s="643"/>
      <c r="M150" s="643"/>
      <c r="N150" s="643"/>
      <c r="O150" s="643"/>
      <c r="Q150"/>
      <c r="R150"/>
      <c r="S150"/>
      <c r="T150"/>
      <c r="U150"/>
      <c r="V150"/>
      <c r="W150"/>
      <c r="X150"/>
    </row>
    <row r="151" spans="1:24" ht="11.25" hidden="1" customHeight="1">
      <c r="A151" s="463"/>
      <c r="B151" s="33"/>
      <c r="C151" s="642"/>
      <c r="D151" s="639"/>
      <c r="E151" s="641"/>
      <c r="F151" s="640"/>
      <c r="G151" s="62"/>
      <c r="H151" s="619"/>
      <c r="I151" s="62"/>
      <c r="J151" s="62"/>
      <c r="K151" s="62"/>
      <c r="L151" s="62"/>
      <c r="M151" s="62"/>
      <c r="N151" s="62"/>
      <c r="O151" s="62"/>
      <c r="Q151"/>
      <c r="R151"/>
      <c r="S151"/>
      <c r="T151"/>
      <c r="U151"/>
      <c r="V151"/>
      <c r="W151"/>
      <c r="X151"/>
    </row>
    <row r="152" spans="1:24" ht="11.25" hidden="1" customHeight="1">
      <c r="A152" s="463"/>
      <c r="B152" s="33"/>
      <c r="C152" s="639"/>
      <c r="D152" s="639"/>
      <c r="E152" s="621"/>
      <c r="F152" s="620"/>
      <c r="G152" s="620"/>
      <c r="H152" s="619"/>
      <c r="I152" s="33"/>
      <c r="J152" s="33"/>
      <c r="K152" s="33"/>
      <c r="L152" s="33"/>
      <c r="M152" s="33"/>
      <c r="N152" s="33"/>
      <c r="O152" s="62"/>
      <c r="Q152"/>
      <c r="R152"/>
      <c r="S152"/>
      <c r="T152"/>
      <c r="U152"/>
      <c r="V152"/>
      <c r="W152"/>
      <c r="X152"/>
    </row>
    <row r="153" spans="1:24" ht="11.25" hidden="1" customHeight="1">
      <c r="A153" s="463"/>
      <c r="B153" s="62"/>
      <c r="C153" s="638"/>
      <c r="D153" s="637"/>
      <c r="E153" s="633"/>
      <c r="F153" s="633"/>
      <c r="G153" s="632"/>
      <c r="H153" s="636"/>
      <c r="I153" s="635"/>
      <c r="J153" s="635"/>
      <c r="K153" s="634"/>
      <c r="L153" s="62"/>
      <c r="M153" s="62"/>
      <c r="N153" s="62"/>
      <c r="O153" s="62"/>
      <c r="Q153"/>
      <c r="R153"/>
      <c r="S153"/>
      <c r="T153"/>
      <c r="U153"/>
      <c r="V153"/>
      <c r="W153"/>
      <c r="X153"/>
    </row>
    <row r="154" spans="1:24" ht="11.25" hidden="1" customHeight="1">
      <c r="A154" s="463"/>
      <c r="B154" s="62"/>
      <c r="C154" s="638"/>
      <c r="D154" s="637"/>
      <c r="E154" s="633"/>
      <c r="F154" s="633"/>
      <c r="G154" s="632"/>
      <c r="H154" s="636"/>
      <c r="I154" s="635"/>
      <c r="J154" s="635"/>
      <c r="K154" s="635"/>
      <c r="L154" s="62"/>
      <c r="M154" s="62"/>
      <c r="N154" s="62"/>
      <c r="O154" s="62"/>
      <c r="Q154"/>
      <c r="R154"/>
      <c r="S154"/>
      <c r="T154"/>
      <c r="U154"/>
      <c r="V154"/>
      <c r="W154"/>
      <c r="X154"/>
    </row>
    <row r="155" spans="1:24" ht="11.25" hidden="1" customHeight="1">
      <c r="A155" s="463"/>
      <c r="B155" s="62"/>
      <c r="C155" s="638"/>
      <c r="D155" s="637"/>
      <c r="E155" s="633"/>
      <c r="F155" s="633"/>
      <c r="G155" s="632"/>
      <c r="H155" s="636"/>
      <c r="I155" s="635"/>
      <c r="J155" s="635"/>
      <c r="K155" s="634"/>
      <c r="L155" s="62"/>
      <c r="M155" s="62"/>
      <c r="N155" s="62"/>
      <c r="O155" s="62"/>
      <c r="Q155"/>
      <c r="R155"/>
      <c r="S155"/>
      <c r="T155"/>
      <c r="U155"/>
      <c r="V155"/>
      <c r="W155"/>
      <c r="X155"/>
    </row>
    <row r="156" spans="1:24" ht="11.25" hidden="1" customHeight="1">
      <c r="A156" s="463"/>
      <c r="B156" s="62"/>
      <c r="C156" s="630"/>
      <c r="D156" s="628"/>
      <c r="E156" s="633"/>
      <c r="F156" s="633"/>
      <c r="G156" s="632"/>
      <c r="H156" s="631"/>
      <c r="I156" s="62"/>
      <c r="J156" s="62"/>
      <c r="K156" s="62"/>
      <c r="L156" s="62"/>
      <c r="M156" s="62"/>
      <c r="N156" s="62"/>
      <c r="O156" s="62"/>
      <c r="Q156"/>
      <c r="R156"/>
      <c r="S156"/>
      <c r="T156"/>
      <c r="U156"/>
      <c r="V156"/>
      <c r="W156"/>
      <c r="X156"/>
    </row>
    <row r="157" spans="1:24" ht="11.25" hidden="1" customHeight="1">
      <c r="A157" s="463"/>
      <c r="B157" s="62"/>
      <c r="C157" s="62"/>
      <c r="D157" s="630"/>
      <c r="E157" s="628"/>
      <c r="F157" s="629"/>
      <c r="G157" s="629"/>
      <c r="H157" s="629"/>
      <c r="I157" s="628"/>
      <c r="J157" s="62"/>
      <c r="K157" s="62"/>
      <c r="L157" s="62"/>
      <c r="M157" s="62"/>
      <c r="N157" s="62"/>
      <c r="O157" s="62"/>
      <c r="Q157"/>
      <c r="R157"/>
      <c r="S157"/>
      <c r="T157"/>
      <c r="U157"/>
      <c r="V157"/>
      <c r="W157"/>
      <c r="X157"/>
    </row>
    <row r="158" spans="1:24" ht="11.25" hidden="1" customHeight="1">
      <c r="A158" s="463"/>
      <c r="B158" s="33"/>
      <c r="C158" s="627"/>
      <c r="D158" s="621"/>
      <c r="E158" s="626"/>
      <c r="F158" s="620"/>
      <c r="G158" s="620"/>
      <c r="H158" s="625"/>
      <c r="I158" s="619"/>
      <c r="J158" s="624"/>
      <c r="K158" s="624"/>
      <c r="L158" s="624"/>
      <c r="M158" s="619"/>
      <c r="N158" s="619"/>
      <c r="O158" s="619"/>
      <c r="Q158"/>
      <c r="R158"/>
      <c r="S158"/>
      <c r="T158"/>
      <c r="U158"/>
      <c r="V158"/>
      <c r="W158"/>
      <c r="X158"/>
    </row>
    <row r="159" spans="1:24" ht="11.25" hidden="1" customHeight="1">
      <c r="A159" s="463"/>
      <c r="B159" s="33"/>
      <c r="C159" s="481"/>
      <c r="D159" s="481"/>
      <c r="E159" s="621"/>
      <c r="F159" s="623"/>
      <c r="G159" s="619"/>
      <c r="H159" s="622"/>
      <c r="I159" s="622"/>
      <c r="J159" s="619"/>
      <c r="K159" s="621"/>
      <c r="L159" s="621"/>
      <c r="M159" s="620"/>
      <c r="N159" s="619"/>
      <c r="O159" s="62"/>
      <c r="Q159"/>
      <c r="R159"/>
      <c r="S159"/>
      <c r="T159"/>
      <c r="U159"/>
      <c r="V159"/>
      <c r="W159"/>
      <c r="X159"/>
    </row>
    <row r="160" spans="1:24" hidden="1" collapsed="1">
      <c r="B160" s="62"/>
      <c r="C160" s="62"/>
      <c r="D160" s="62"/>
      <c r="E160" s="62"/>
      <c r="F160" s="62"/>
      <c r="G160" s="62"/>
      <c r="H160" s="62"/>
      <c r="I160" s="62"/>
      <c r="J160" s="62"/>
      <c r="K160" s="62"/>
      <c r="L160" s="62"/>
      <c r="M160" s="62"/>
      <c r="N160" s="62"/>
      <c r="O160" s="62"/>
    </row>
    <row r="161" spans="2:15" hidden="1">
      <c r="B161" s="62"/>
      <c r="C161" s="62"/>
      <c r="D161" s="62"/>
      <c r="E161" s="62"/>
      <c r="F161" s="62"/>
      <c r="G161" s="62"/>
      <c r="H161" s="62"/>
      <c r="I161" s="62"/>
      <c r="J161" s="62"/>
      <c r="K161" s="62"/>
      <c r="L161" s="62"/>
      <c r="M161" s="62"/>
      <c r="N161" s="62"/>
      <c r="O161" s="62"/>
    </row>
    <row r="162" spans="2:15" hidden="1">
      <c r="B162" s="62"/>
      <c r="C162" s="62"/>
      <c r="D162" s="62"/>
      <c r="E162" s="62"/>
      <c r="F162" s="62"/>
      <c r="G162" s="62"/>
      <c r="H162" s="62"/>
      <c r="I162" s="62"/>
      <c r="J162" s="62"/>
      <c r="K162" s="62"/>
      <c r="L162" s="62"/>
      <c r="M162" s="62"/>
      <c r="N162" s="62"/>
      <c r="O162" s="62"/>
    </row>
    <row r="163" spans="2:15" hidden="1">
      <c r="B163" s="62"/>
      <c r="C163" s="62"/>
      <c r="D163" s="62"/>
      <c r="E163" s="62"/>
      <c r="F163" s="62"/>
      <c r="G163" s="62"/>
      <c r="H163" s="62"/>
      <c r="I163" s="62"/>
      <c r="J163" s="62"/>
      <c r="K163" s="62"/>
      <c r="L163" s="62"/>
      <c r="M163" s="62"/>
      <c r="N163" s="62"/>
      <c r="O163" s="62"/>
    </row>
    <row r="164" spans="2:15" hidden="1">
      <c r="B164" s="62"/>
      <c r="C164" s="62"/>
      <c r="D164" s="62"/>
      <c r="E164" s="62"/>
      <c r="F164" s="62"/>
      <c r="G164" s="62"/>
      <c r="H164" s="62"/>
      <c r="I164" s="62"/>
      <c r="J164" s="62"/>
      <c r="K164" s="62"/>
      <c r="L164" s="62"/>
      <c r="M164" s="62"/>
      <c r="N164" s="62"/>
      <c r="O164" s="62"/>
    </row>
    <row r="165" spans="2:15" hidden="1">
      <c r="B165" s="62"/>
      <c r="C165" s="62"/>
      <c r="D165" s="62"/>
      <c r="E165" s="62"/>
      <c r="F165" s="62"/>
      <c r="G165" s="62"/>
      <c r="H165" s="62"/>
      <c r="I165" s="62"/>
      <c r="J165" s="62"/>
      <c r="K165" s="62"/>
      <c r="L165" s="62"/>
      <c r="M165" s="62"/>
      <c r="N165" s="62"/>
      <c r="O165" s="62"/>
    </row>
    <row r="166" spans="2:15" hidden="1">
      <c r="B166" s="62"/>
      <c r="C166" s="62"/>
      <c r="D166" s="62"/>
      <c r="E166" s="62"/>
      <c r="F166" s="62"/>
      <c r="G166" s="62"/>
      <c r="H166" s="62"/>
      <c r="I166" s="62"/>
      <c r="J166" s="62"/>
      <c r="K166" s="62"/>
      <c r="L166" s="62"/>
      <c r="M166" s="62"/>
      <c r="N166" s="62"/>
      <c r="O166" s="62"/>
    </row>
    <row r="167" spans="2:15" hidden="1">
      <c r="B167" s="62"/>
      <c r="C167" s="62"/>
      <c r="D167" s="62"/>
      <c r="E167" s="62"/>
      <c r="F167" s="62"/>
      <c r="G167" s="62"/>
      <c r="H167" s="62"/>
      <c r="I167" s="62"/>
      <c r="J167" s="62"/>
      <c r="K167" s="62"/>
      <c r="L167" s="62"/>
      <c r="M167" s="62"/>
      <c r="N167" s="62"/>
      <c r="O167" s="62"/>
    </row>
    <row r="168" spans="2:15" hidden="1">
      <c r="B168" s="62"/>
      <c r="C168" s="62"/>
      <c r="D168" s="62"/>
      <c r="E168" s="62"/>
      <c r="F168" s="62"/>
      <c r="G168" s="62"/>
      <c r="H168" s="62"/>
      <c r="I168" s="62"/>
      <c r="J168" s="62"/>
      <c r="K168" s="62"/>
      <c r="L168" s="62"/>
      <c r="M168" s="62"/>
      <c r="N168" s="62"/>
      <c r="O168" s="62"/>
    </row>
    <row r="169" spans="2:15" hidden="1">
      <c r="B169" s="62"/>
      <c r="C169" s="62"/>
      <c r="D169" s="62"/>
      <c r="E169" s="62"/>
      <c r="F169" s="62"/>
      <c r="G169" s="62"/>
      <c r="H169" s="62"/>
      <c r="I169" s="62"/>
      <c r="J169" s="62"/>
      <c r="K169" s="62"/>
      <c r="L169" s="62"/>
      <c r="M169" s="62"/>
      <c r="N169" s="62"/>
      <c r="O169" s="62"/>
    </row>
    <row r="170" spans="2:15" hidden="1">
      <c r="B170" s="62"/>
      <c r="C170" s="62"/>
      <c r="D170" s="62"/>
      <c r="E170" s="62"/>
      <c r="F170" s="62"/>
      <c r="G170" s="62"/>
      <c r="H170" s="62"/>
      <c r="I170" s="62"/>
      <c r="J170" s="62"/>
      <c r="K170" s="62"/>
      <c r="L170" s="62"/>
      <c r="M170" s="62"/>
      <c r="N170" s="62"/>
      <c r="O170" s="62"/>
    </row>
    <row r="171" spans="2:15" hidden="1">
      <c r="B171" s="62"/>
      <c r="C171" s="62"/>
      <c r="D171" s="62"/>
      <c r="E171" s="62"/>
      <c r="F171" s="62"/>
      <c r="G171" s="62"/>
      <c r="H171" s="62"/>
      <c r="I171" s="62"/>
      <c r="J171" s="62"/>
      <c r="K171" s="62"/>
      <c r="L171" s="62"/>
      <c r="M171" s="62"/>
      <c r="N171" s="62"/>
      <c r="O171" s="62"/>
    </row>
    <row r="172" spans="2:15" hidden="1">
      <c r="B172" s="62"/>
      <c r="C172" s="62"/>
      <c r="D172" s="62"/>
      <c r="E172" s="62"/>
      <c r="F172" s="62"/>
      <c r="G172" s="62"/>
      <c r="H172" s="62"/>
      <c r="I172" s="62"/>
      <c r="J172" s="62"/>
      <c r="K172" s="62"/>
      <c r="L172" s="62"/>
      <c r="M172" s="62"/>
      <c r="N172" s="62"/>
      <c r="O172" s="62"/>
    </row>
    <row r="173" spans="2:15" hidden="1"/>
    <row r="174" spans="2:15" hidden="1"/>
    <row r="175" spans="2:15" hidden="1"/>
    <row r="176" spans="2:15" hidden="1"/>
    <row r="177" hidden="1"/>
    <row r="178" hidden="1"/>
    <row r="179" hidden="1"/>
    <row r="180" hidden="1"/>
    <row r="181" hidden="1"/>
    <row r="182" hidden="1"/>
    <row r="183" hidden="1"/>
    <row r="184" hidden="1"/>
    <row r="185" hidden="1"/>
    <row r="186" hidden="1"/>
    <row r="187" hidden="1"/>
    <row r="188" hidden="1"/>
    <row r="189" hidden="1"/>
    <row r="190" hidden="1"/>
    <row r="191" ht="10.199999999999999" hidden="1" customHeight="1"/>
    <row r="192" ht="10.199999999999999" hidden="1" customHeight="1"/>
    <row r="193" ht="10.199999999999999" hidden="1" customHeight="1"/>
    <row r="194" ht="10.199999999999999" hidden="1" customHeight="1"/>
    <row r="195" ht="10.199999999999999" hidden="1" customHeight="1"/>
    <row r="196" ht="10.199999999999999" hidden="1" customHeight="1"/>
    <row r="197" ht="10.199999999999999" hidden="1" customHeight="1"/>
    <row r="198" ht="10.199999999999999" hidden="1" customHeight="1"/>
    <row r="199" ht="10.199999999999999" hidden="1" customHeight="1"/>
  </sheetData>
  <conditionalFormatting sqref="Q1:R1">
    <cfRule type="cellIs" dxfId="0" priority="1" operator="equal">
      <formula>"Check"</formula>
    </cfRule>
  </conditionalFormatting>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DCF - Summary</vt:lpstr>
      <vt:lpstr>DCF - Assumptions</vt:lpstr>
      <vt:lpstr>DCF - Financials</vt:lpstr>
      <vt:lpstr>DCF - Capital Structure</vt:lpstr>
      <vt:lpstr>DCF - Valuation</vt:lpstr>
      <vt:lpstr>DCF - Assumptions Document</vt:lpstr>
      <vt:lpstr>LBO - Summary</vt:lpstr>
      <vt:lpstr>LBO - Assumptions</vt:lpstr>
      <vt:lpstr>LBO - Financials</vt:lpstr>
      <vt:lpstr>LBO - Assumptions Document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Chua</dc:creator>
  <cp:lastModifiedBy>User</cp:lastModifiedBy>
  <cp:lastPrinted>2018-12-02T02:54:00Z</cp:lastPrinted>
  <dcterms:created xsi:type="dcterms:W3CDTF">2018-11-30T19:25:49Z</dcterms:created>
  <dcterms:modified xsi:type="dcterms:W3CDTF">2019-10-23T07:47:54Z</dcterms:modified>
</cp:coreProperties>
</file>